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23256" windowHeight="13176" activeTab="0"/>
  </bookViews>
  <sheets>
    <sheet name="Kalpana One Cylinders" sheetId="1" r:id="rId1"/>
    <sheet name="Stanford Torus" sheetId="2" r:id="rId2"/>
  </sheets>
  <definedNames/>
  <calcPr fullCalcOnLoad="1"/>
</workbook>
</file>

<file path=xl/comments1.xml><?xml version="1.0" encoding="utf-8"?>
<comments xmlns="http://schemas.openxmlformats.org/spreadsheetml/2006/main">
  <authors>
    <author>Stephen D. Covey</author>
  </authors>
  <commentList>
    <comment ref="A4" authorId="0">
      <text>
        <r>
          <rPr>
            <b/>
            <sz val="9"/>
            <rFont val="Tahoma"/>
            <family val="2"/>
          </rPr>
          <t>Stephen D. Covey:</t>
        </r>
        <r>
          <rPr>
            <sz val="9"/>
            <rFont val="Tahoma"/>
            <family val="2"/>
          </rPr>
          <t xml:space="preserve">
Ratio of width to radius
Note Kalpana One Revised used a value of 1.33.
This depends upon the rotational stability of the spinning cylinder, which depends upon the mass distribution. Al Globus thinks that to play it safe, a number such as 1.00 should be used.
In any event, we know that large ratios are unstable to perturbations; thus building long cylinders is not a good idea. 1.5 may work if most of the mass is along the rim.</t>
        </r>
      </text>
    </comment>
    <comment ref="A5" authorId="0">
      <text>
        <r>
          <rPr>
            <b/>
            <sz val="9"/>
            <rFont val="Tahoma"/>
            <family val="2"/>
          </rPr>
          <t>Stephen D. Covey:</t>
        </r>
        <r>
          <rPr>
            <sz val="9"/>
            <rFont val="Tahoma"/>
            <family val="2"/>
          </rPr>
          <t xml:space="preserve">
Shield Mass (tonnes/m^2):
10 for deep space rocky shield; 
6 per NASA study (minimum recommendation)
1 for deep space water shield (travel); 
.1 for LEO polyethylene shield; 
0 for equatorial LEO</t>
        </r>
      </text>
    </comment>
    <comment ref="A6" authorId="0">
      <text>
        <r>
          <rPr>
            <b/>
            <sz val="9"/>
            <rFont val="Tahoma"/>
            <family val="2"/>
          </rPr>
          <t>Stephen D. Covey:</t>
        </r>
        <r>
          <rPr>
            <sz val="9"/>
            <rFont val="Tahoma"/>
            <family val="2"/>
          </rPr>
          <t xml:space="preserve">
Shield Depth (m) extends outer dimensions</t>
        </r>
      </text>
    </comment>
    <comment ref="A7" authorId="0">
      <text>
        <r>
          <rPr>
            <b/>
            <sz val="9"/>
            <rFont val="Tahoma"/>
            <family val="2"/>
          </rPr>
          <t>Stephen D. Covey:</t>
        </r>
        <r>
          <rPr>
            <sz val="9"/>
            <rFont val="Tahoma"/>
            <family val="2"/>
          </rPr>
          <t xml:space="preserve">
structural strength of hull material in MPA. 
1200 works for titanium and maraging steels such as Ni10Co4. I want to use weldable materials; very-high-strength steel cables, for example, can't be repaired, only replaced.
Aluminum is 340
UHMWPE (a polyethylene such as Dyneema Max) is 2400</t>
        </r>
      </text>
    </comment>
    <comment ref="A8" authorId="0">
      <text>
        <r>
          <rPr>
            <b/>
            <sz val="9"/>
            <rFont val="Tahoma"/>
            <family val="2"/>
          </rPr>
          <t>Stephen D. Covey:</t>
        </r>
        <r>
          <rPr>
            <sz val="9"/>
            <rFont val="Tahoma"/>
            <family val="2"/>
          </rPr>
          <t xml:space="preserve">
Density of structural materials (tonnes per cubic meter). 
7.8 for steel (may be asteroid sourced), 
4.4-4.8 for titanium alloys, 
2.54 for LiAl (lithium-Aluminum alloy)
0.97 for Dyneema Max (UHMW polyethelene)</t>
        </r>
      </text>
    </comment>
    <comment ref="A10" authorId="0">
      <text>
        <r>
          <rPr>
            <b/>
            <sz val="9"/>
            <rFont val="Tahoma"/>
            <family val="2"/>
          </rPr>
          <t>Stephen D. Covey:</t>
        </r>
        <r>
          <rPr>
            <sz val="9"/>
            <rFont val="Tahoma"/>
            <family val="2"/>
          </rPr>
          <t xml:space="preserve">
Design Wall stress (tonnes/m^2) as air pressure plus shield mass + structural mass plus non-structural mass + 50% safety margin</t>
        </r>
      </text>
    </comment>
    <comment ref="A11" authorId="0">
      <text>
        <r>
          <rPr>
            <b/>
            <sz val="9"/>
            <rFont val="Tahoma"/>
            <family val="2"/>
          </rPr>
          <t>Stephen D. Covey:</t>
        </r>
        <r>
          <rPr>
            <sz val="9"/>
            <rFont val="Tahoma"/>
            <family val="2"/>
          </rPr>
          <t xml:space="preserve">
Internal structures in tonnes/m^2 (5 is equivalent to building code live loads of 100 psf)
0 for no structures (live on outer shell)
0.05 (50 kg/m^2) is bare minimum for a 2 level facility, where the ceiling of the lower floor can be walked on (it's the floor of the upper level);
0.2 per level allows walls, floor/ceilings, etc. </t>
        </r>
      </text>
    </comment>
    <comment ref="A13" authorId="0">
      <text>
        <r>
          <rPr>
            <b/>
            <sz val="9"/>
            <rFont val="Tahoma"/>
            <family val="2"/>
          </rPr>
          <t>Stephen D. Covey:</t>
        </r>
        <r>
          <rPr>
            <sz val="9"/>
            <rFont val="Tahoma"/>
            <family val="2"/>
          </rPr>
          <t xml:space="preserve">
non-structural mass (excluding air) in tonnes per resident 
NOMINAL 7 
=1.5 plants 
+ 1 H2O drinking&amp;hygene&amp;recycling 
+ 0.5 H2O recreation&amp;aesthetics 
+ 1 furniture&amp;fixtures 
+ 1 lighting&amp;equipment_includes_plumbing&amp;power&amp;cooling 
+ 0.5 paper&amp;plastics&amp;textiles 
+ 1.5 agriculture&amp;recycling
RICH 14 (double everything)
MINIMUM 3.5 (half everything)</t>
        </r>
      </text>
    </comment>
    <comment ref="A14" authorId="0">
      <text>
        <r>
          <rPr>
            <b/>
            <sz val="9"/>
            <rFont val="Tahoma"/>
            <family val="2"/>
          </rPr>
          <t>Stephen D. Covey:</t>
        </r>
        <r>
          <rPr>
            <sz val="9"/>
            <rFont val="Tahoma"/>
            <family val="2"/>
          </rPr>
          <t xml:space="preserve">
Area of shell surface per resident (19 is thermal rejection area at 0 C for 6 kw); used to compute maximum population and per-resident component of non-structural masses for shell loading. I note that 40 makes a reasonable design limit, and 80 allows the solar panels to occupy one end cap exactly. 300 leads to the population density used by Globus in Kalpana One Revised. 200 corresponds to the population density of the Stanford Torus (100 m^2/person for the cylinder rim area).
Note population density along cylinder rim may be different than along end caps - but for the maximum 20 or so for the thermal limit, they should be the same.</t>
        </r>
      </text>
    </comment>
    <comment ref="A16" authorId="0">
      <text>
        <r>
          <rPr>
            <b/>
            <sz val="9"/>
            <rFont val="Tahoma"/>
            <family val="2"/>
          </rPr>
          <t>Stephen D. Covey:</t>
        </r>
        <r>
          <rPr>
            <sz val="9"/>
            <rFont val="Tahoma"/>
            <family val="2"/>
          </rPr>
          <t xml:space="preserve">
level (floor) height in meters</t>
        </r>
      </text>
    </comment>
    <comment ref="A17" authorId="0">
      <text>
        <r>
          <rPr>
            <b/>
            <sz val="9"/>
            <rFont val="Tahoma"/>
            <family val="2"/>
          </rPr>
          <t>Stephen D. Covey:</t>
        </r>
        <r>
          <rPr>
            <sz val="9"/>
            <rFont val="Tahoma"/>
            <family val="2"/>
          </rPr>
          <t xml:space="preserve">
Efficiency of solar cells</t>
        </r>
      </text>
    </comment>
    <comment ref="A41" authorId="0">
      <text>
        <r>
          <rPr>
            <b/>
            <sz val="9"/>
            <rFont val="Tahoma"/>
            <family val="2"/>
          </rPr>
          <t>Stephen D. Covey:</t>
        </r>
        <r>
          <rPr>
            <sz val="9"/>
            <rFont val="Tahoma"/>
            <family val="2"/>
          </rPr>
          <t xml:space="preserve">
Life support (especially agriculture), plus furniture, fixtures, internal and external equipment including solar arrays</t>
        </r>
      </text>
    </comment>
    <comment ref="A20" authorId="0">
      <text>
        <r>
          <rPr>
            <b/>
            <sz val="9"/>
            <rFont val="Tahoma"/>
            <family val="2"/>
          </rPr>
          <t>Stephen D. Covey:</t>
        </r>
        <r>
          <rPr>
            <sz val="9"/>
            <rFont val="Tahoma"/>
            <family val="2"/>
          </rPr>
          <t xml:space="preserve">
this is the angle in degrees of the maximum shadow extent (cross section for drag computations)
</t>
        </r>
      </text>
    </comment>
    <comment ref="A15" authorId="0">
      <text>
        <r>
          <rPr>
            <b/>
            <sz val="9"/>
            <rFont val="Tahoma"/>
            <family val="2"/>
          </rPr>
          <t>Stephen D. Covey:</t>
        </r>
        <r>
          <rPr>
            <sz val="9"/>
            <rFont val="Tahoma"/>
            <family val="2"/>
          </rPr>
          <t xml:space="preserve">
Area of shell surface per resident (19 is thermal rejection area at 0 C for 6 kw); used to compute maximum population and per-resident component of non-structural masses for shell loading. I note that 40 makes a reasonable design limit, and 80 allows the solar panels to occupy one end cap exactly. 300 leads to the population density used by Globus in Kalpana One Revised. 200 corresponds to the population density of the Stanford Torus (100 m^2/person for the cylinder rim area).
Note population density along cylinder rim may be different than along end caps - but for the maximum 20 or so for the thermal limit, they should be the same.</t>
        </r>
      </text>
    </comment>
    <comment ref="A18" authorId="0">
      <text>
        <r>
          <rPr>
            <b/>
            <sz val="9"/>
            <rFont val="Tahoma"/>
            <family val="2"/>
          </rPr>
          <t>Stephen D. Covey:</t>
        </r>
        <r>
          <rPr>
            <sz val="9"/>
            <rFont val="Tahoma"/>
            <family val="2"/>
          </rPr>
          <t xml:space="preserve">
6 kw is the minimum per person power allotment, based on 3.5 kw for agriculture, 2 kw for personal and office/work space, and 0.5 kw for common area lighting, blowers, and the like. These numbers work for a 24 hour average, implying that there are no low power &amp; high power periods, such as night time. I'm assuming agricultural areas are used to balance the energy consumption. 3.5 kw for agriculture is valid for LED lighting using mostly PAR (photosynthetically active radiation) and allowing 64 m^2/person, double the area suggested by Heppenheimer, and thus provides an allowance for eggs, milk, meat, and fish, not to mention crop failures, but still requires a primarily vegetarian diet.</t>
        </r>
      </text>
    </comment>
    <comment ref="A9" authorId="0">
      <text>
        <r>
          <rPr>
            <b/>
            <sz val="9"/>
            <rFont val="Tahoma"/>
            <family val="2"/>
          </rPr>
          <t>Stephen D. Covey:</t>
        </r>
        <r>
          <rPr>
            <sz val="9"/>
            <rFont val="Tahoma"/>
            <family val="2"/>
          </rPr>
          <t xml:space="preserve">
For smallest structures.
Would YOU want to live in a spaceship with a hull barely 1mm thick?</t>
        </r>
      </text>
    </comment>
    <comment ref="A12" authorId="0">
      <text>
        <r>
          <rPr>
            <b/>
            <sz val="9"/>
            <rFont val="Tahoma"/>
            <family val="2"/>
          </rPr>
          <t>Stephen D. Covey:</t>
        </r>
        <r>
          <rPr>
            <sz val="9"/>
            <rFont val="Tahoma"/>
            <family val="2"/>
          </rPr>
          <t xml:space="preserve">
If endcaps are bare hull, only need a (negligible) mass for elevators, stairwells, paint, and conduits.
If there are rooms there, this becomes the room structures (floor, ceilings, contents) as a mass per square meter of hull endcap.
It is reasonable to allocate the same value as for the cylinder rim, as this allows structures out from the endcap that are equivalent depth of the rim structures in height. Ie, the same mass allowance over the entire hull, which works for Kalpana One Revised structures.</t>
        </r>
      </text>
    </comment>
    <comment ref="A19" authorId="0">
      <text>
        <r>
          <rPr>
            <b/>
            <sz val="9"/>
            <rFont val="Tahoma"/>
            <family val="2"/>
          </rPr>
          <t>Stephen D. Covey:</t>
        </r>
        <r>
          <rPr>
            <sz val="9"/>
            <rFont val="Tahoma"/>
            <family val="2"/>
          </rPr>
          <t xml:space="preserve">
50% bare minimum.
Overbuilding is cheap for tiny habitats. Not a factor for self-stress limits of hull material (but you could artificially weaken the material for an equivalent result).</t>
        </r>
      </text>
    </comment>
    <comment ref="A21" authorId="0">
      <text>
        <r>
          <rPr>
            <b/>
            <sz val="9"/>
            <rFont val="Tahoma"/>
            <family val="2"/>
          </rPr>
          <t>Stephen D. Covey:</t>
        </r>
        <r>
          <rPr>
            <sz val="9"/>
            <rFont val="Tahoma"/>
            <family val="2"/>
          </rPr>
          <t xml:space="preserve">
Think apartment size.
This is the area (per person) of the private living quarters, exclusive of common areas, work areas, agriculture, and overhead.
4 square meters is minimum for temporary workers (shared bath and kitchen facilities)
10 is a cruise ship accomodation
20 is an extended stay hotel allowance
30 allows a nice apartment, similar to many in high density communities
40 is an average single-family residence in the USA today (much larger than global average)
60 is a modern, large, suburban home </t>
        </r>
      </text>
    </comment>
    <comment ref="A22" authorId="0">
      <text>
        <r>
          <rPr>
            <b/>
            <sz val="9"/>
            <rFont val="Tahoma"/>
            <family val="2"/>
          </rPr>
          <t>Stephen D. Covey:</t>
        </r>
        <r>
          <rPr>
            <sz val="9"/>
            <rFont val="Tahoma"/>
            <family val="2"/>
          </rPr>
          <t xml:space="preserve">
Computed as agricultural square meters divided by 3 (allowing for multiple plant shelves), plus workspace, schools, medical allowances, all with a 20% margin for hallways, storage, and overhead, plus the equivalent allowance needed for residential hallways, etc.
Agriculture allowance is double Heppenheimer to allow for some non-vegatarian foods including fish, eggs, and dairy; must be doubled again (at a minimum) for beef, doubled again for a typical USA meat-intensive diet.
For the rural open fields and meadows depicted in many space settlement artworks, a minimum of 1,000 is needed.</t>
        </r>
      </text>
    </comment>
    <comment ref="A23" authorId="0">
      <text>
        <r>
          <rPr>
            <b/>
            <sz val="9"/>
            <rFont val="Tahoma"/>
            <family val="2"/>
          </rPr>
          <t>Stephen D. Covey:</t>
        </r>
        <r>
          <rPr>
            <sz val="9"/>
            <rFont val="Tahoma"/>
            <family val="2"/>
          </rPr>
          <t xml:space="preserve">
Think "number of celings"
This is computed as the number of levels needed to provide the total living and working space given the projected space allowance.</t>
        </r>
      </text>
    </comment>
    <comment ref="A24" authorId="0">
      <text>
        <r>
          <rPr>
            <b/>
            <sz val="9"/>
            <rFont val="Tahoma"/>
            <family val="2"/>
          </rPr>
          <t>Stephen D. Covey:</t>
        </r>
        <r>
          <rPr>
            <sz val="9"/>
            <rFont val="Tahoma"/>
            <family val="2"/>
          </rPr>
          <t xml:space="preserve">
For Earth launch, a Falcon Heavy provides perhaps 45 tonnes to a 500 km altitude orbit (perhaps less for equatorial, unless another launch pad is constructed), but only 15 tonnes to deep space destinations.
An SLS or future BFR might provide 150-500 tonnes to LEO
For asteroid-derived resources, a number in the 500 - 5,000 range may be reasonable</t>
        </r>
      </text>
    </comment>
    <comment ref="A25" authorId="0">
      <text>
        <r>
          <rPr>
            <b/>
            <sz val="9"/>
            <rFont val="Tahoma"/>
            <family val="2"/>
          </rPr>
          <t>Stephen D. Covey:</t>
        </r>
        <r>
          <rPr>
            <sz val="9"/>
            <rFont val="Tahoma"/>
            <family val="2"/>
          </rPr>
          <t xml:space="preserve">
An initial estimate of cost per launch / delivery
In a world of dropping launch costs, this is hard to pin down, as it depends upon when you get started, and how long the construction phase lasts. And on the price reductions gained via competition given the number of launches needed.
A Falcon Heavy may be $90M soon, perhaps half that for near-term reusable versions (2020?).
A future fully reusable spacecraft (MCT?) would likely have half of that in cost per kilogram, but with more kilograms per launch (2025?).
Volume discounts available, and it may make sense to buy the fleet and operate it at cost, which might be 1/10th (2030?) to 1/100th (2050?) of today's cost per kilogram.
For asteroid-sourced materials, you definitely buy the fleet, and operate it for the cost of maintenance and amortization over the average lifetime of the equipment (but this will increase the materials cost - it's not just the cost of ore delivery).</t>
        </r>
      </text>
    </comment>
    <comment ref="A26" authorId="0">
      <text>
        <r>
          <rPr>
            <b/>
            <sz val="9"/>
            <rFont val="Tahoma"/>
            <family val="2"/>
          </rPr>
          <t>Stephen D. Covey:</t>
        </r>
        <r>
          <rPr>
            <sz val="9"/>
            <rFont val="Tahoma"/>
            <family val="2"/>
          </rPr>
          <t xml:space="preserve">
Tricky.
For Earth launch, you might want to put as much into engineering and materials as it costs to launch it. This, of course, applies to high-tech items, not to dumb mass such as water.
But what's the average?
Note that for asteroid-sourced materials, this becomes the cost of converting the ores into useful products such as steel sheets, plates, girders, rods, cables, nuts, bolts, .... And plastic containers, electrical wires (with insulation), composites, solar cells, ...., and is largely the amortized cost of the factory plus operational cost.</t>
        </r>
      </text>
    </comment>
    <comment ref="A27" authorId="0">
      <text>
        <r>
          <rPr>
            <b/>
            <sz val="9"/>
            <rFont val="Tahoma"/>
            <family val="2"/>
          </rPr>
          <t>Stephen D. Covey:</t>
        </r>
        <r>
          <rPr>
            <sz val="9"/>
            <rFont val="Tahoma"/>
            <family val="2"/>
          </rPr>
          <t xml:space="preserve">
Another tricky one, crudely estimated at 100% of the materials cost.
This is the cost of design &amp; engineering, plus assembly/deployment, plus management, overhead, profit to repay the investors, and "legal" expenses (note how nice I am to not call this "lobbying" or "political contributions" or "funds to stuff the pockets of those who would otherwise stand in your way of accomplishing anything").
Yes, this includes "non-recurring engineering costs" so #2 is cheaper even not including volume discounts.
</t>
        </r>
      </text>
    </comment>
  </commentList>
</comments>
</file>

<file path=xl/comments2.xml><?xml version="1.0" encoding="utf-8"?>
<comments xmlns="http://schemas.openxmlformats.org/spreadsheetml/2006/main">
  <authors>
    <author>Stephen D. Covey</author>
  </authors>
  <commentList>
    <comment ref="A32" authorId="0">
      <text>
        <r>
          <rPr>
            <b/>
            <sz val="9"/>
            <rFont val="Tahoma"/>
            <family val="2"/>
          </rPr>
          <t>Stephen D. Covey:</t>
        </r>
        <r>
          <rPr>
            <sz val="9"/>
            <rFont val="Tahoma"/>
            <family val="2"/>
          </rPr>
          <t xml:space="preserve">
shell mass = 2*pi*D*R^3*(Cr+1)(Pal)/(Aw-D*G*R)
This is the formula for a cylinder, not a torus.
I modified it as a guess, with a multiplier of 1.5 from the engineering guidelines for pressure vessels (infinitely long cylinder), and using the large diameter instead of the radius. Basically, it becomes 1.5 times the formula for an arbitary container (volume*pressure*density/strength) with the self-gravitation factor thrown in.</t>
        </r>
      </text>
    </comment>
    <comment ref="A7" authorId="0">
      <text>
        <r>
          <rPr>
            <b/>
            <sz val="9"/>
            <rFont val="Tahoma"/>
            <family val="2"/>
          </rPr>
          <t>Stephen D. Covey:</t>
        </r>
        <r>
          <rPr>
            <sz val="9"/>
            <rFont val="Tahoma"/>
            <family val="2"/>
          </rPr>
          <t xml:space="preserve">
Strength of structural hull material in MPA
Maraging steel 1200
Titanium 1200
Aluminum 340
aramid fiber 2400
UHMWPE (such as Dyneema DM20 an ultra-low-creep UHMwPE fiber)
 </t>
        </r>
      </text>
    </comment>
    <comment ref="A8" authorId="0">
      <text>
        <r>
          <rPr>
            <b/>
            <sz val="9"/>
            <rFont val="Tahoma"/>
            <family val="2"/>
          </rPr>
          <t>Stephen D. Covey:</t>
        </r>
        <r>
          <rPr>
            <sz val="9"/>
            <rFont val="Tahoma"/>
            <family val="2"/>
          </rPr>
          <t xml:space="preserve">
Density of hull material in tonnes/m^3
Maraging steel 7.8
Titanium 4.5
Aluminum 2.8
aramid fiber 1.3
UHMWPE (such as Dyneema DM20 an ultra-low-creep UHMwPE fiber) 0.97
</t>
        </r>
      </text>
    </comment>
  </commentList>
</comments>
</file>

<file path=xl/sharedStrings.xml><?xml version="1.0" encoding="utf-8"?>
<sst xmlns="http://schemas.openxmlformats.org/spreadsheetml/2006/main" count="139" uniqueCount="131">
  <si>
    <t>SPACE SETTLEMENTS THE EASY WAY</t>
  </si>
  <si>
    <t>Kalpana One-style habitats</t>
  </si>
  <si>
    <t>Kalpana 1</t>
  </si>
  <si>
    <t>Kalpana 2</t>
  </si>
  <si>
    <t>Kalpana 3</t>
  </si>
  <si>
    <t>Kalpana 4</t>
  </si>
  <si>
    <t>Kalpana 5</t>
  </si>
  <si>
    <t>Kalpana 6</t>
  </si>
  <si>
    <t>Kalpana 7</t>
  </si>
  <si>
    <t>Kalpana 8</t>
  </si>
  <si>
    <t>Kalpana 9 = RAMA</t>
  </si>
  <si>
    <t>Maximum Habitat using weldable steel</t>
  </si>
  <si>
    <t>custom</t>
  </si>
  <si>
    <t>factor for 6rpm</t>
  </si>
  <si>
    <t>factor for 4 rpm</t>
  </si>
  <si>
    <t>factor for 2 rpm</t>
  </si>
  <si>
    <t>RPM</t>
  </si>
  <si>
    <t>factors of 3 in diameter</t>
  </si>
  <si>
    <t>Design Population</t>
  </si>
  <si>
    <t>Ceiling</t>
  </si>
  <si>
    <t>Shell area</t>
  </si>
  <si>
    <t>Shell (kT or kiloTons)</t>
  </si>
  <si>
    <t>Internal Structures (kT)</t>
  </si>
  <si>
    <t>Shield (kT)</t>
  </si>
  <si>
    <t>Total Mass (kT)</t>
  </si>
  <si>
    <t>Reduction Factor</t>
  </si>
  <si>
    <t>Total mass per person (tonnes)</t>
  </si>
  <si>
    <t>tangential velocity (meters per second)</t>
  </si>
  <si>
    <t>mph</t>
  </si>
  <si>
    <t>steel production tons per day years</t>
  </si>
  <si>
    <t>kt Ore Mass (to produce required mass of shield as product after extracting volatiles and steel)</t>
  </si>
  <si>
    <t>Ore tons per day years to use only slag as shield (resulting in excess steel production)</t>
  </si>
  <si>
    <t>Excess Steel (as steel resulting from production of slag shield, counted as 5 GW SPSs at 25 kt each)</t>
  </si>
  <si>
    <t>Levels (work/live/play)</t>
  </si>
  <si>
    <t>volume per person (m^3, min 64 food, 30 living, 10 work, 10 common/rec, 120 total)</t>
  </si>
  <si>
    <t>Shield mass (tonnes/m^2)</t>
  </si>
  <si>
    <t>Shield depth in meters (density dependent)</t>
  </si>
  <si>
    <t>Hull structural strength in MPA</t>
  </si>
  <si>
    <t>Structural materials density (tonnes/m^3)</t>
  </si>
  <si>
    <t>Non-structural mass in tonnes/resident</t>
  </si>
  <si>
    <t>room (level) height meters</t>
  </si>
  <si>
    <t>Solar cell efficiency</t>
  </si>
  <si>
    <t>Stanford Torus</t>
  </si>
  <si>
    <t>Aspect Ratio</t>
  </si>
  <si>
    <t>Shield Mass kT</t>
  </si>
  <si>
    <t>Population</t>
  </si>
  <si>
    <t>Shell Mass kT</t>
  </si>
  <si>
    <t>Internal Structures kT</t>
  </si>
  <si>
    <t>Non-structural mass kT</t>
  </si>
  <si>
    <t>Air mass kT</t>
  </si>
  <si>
    <t>Spokes &amp; Hub kT</t>
  </si>
  <si>
    <t>TOTAL MASS kT</t>
  </si>
  <si>
    <t>Reduction factor</t>
  </si>
  <si>
    <t>shield mass tonnes/m^2</t>
  </si>
  <si>
    <t>shield thickness (meters) depends on shield density</t>
  </si>
  <si>
    <t>Shell &amp; Structural materials strength (MPA)</t>
  </si>
  <si>
    <t>Shell &amp; structural materials density (tonnes/m^3)</t>
  </si>
  <si>
    <t>Design stress for shell (tonnes/m^2)</t>
  </si>
  <si>
    <t>Non-structural mass as tonnes/resident</t>
  </si>
  <si>
    <t>Design Structural Strength Margin</t>
  </si>
  <si>
    <t>Endcap area per resident (m^2) (population density) - additional population</t>
  </si>
  <si>
    <t>Cylinder area per resident (m^2) (population density) - they don't all have to live along the rim!</t>
  </si>
  <si>
    <t>Drag Mass/m^2 (tonnes)</t>
  </si>
  <si>
    <t>Angle of Maximum Cross Section for drag computations</t>
  </si>
  <si>
    <t>Volume m^3</t>
  </si>
  <si>
    <t>Required power kw/person</t>
  </si>
  <si>
    <t>Design hull stress (tonnes/m^2) 1 atmosphere of air is 10</t>
  </si>
  <si>
    <t>Radius m</t>
  </si>
  <si>
    <t>Width m</t>
  </si>
  <si>
    <t xml:space="preserve">Central Park </t>
  </si>
  <si>
    <t>End cap area m^2</t>
  </si>
  <si>
    <t>Cylinder area m^2</t>
  </si>
  <si>
    <t>Drag cross section m^2</t>
  </si>
  <si>
    <t>Park Circumference m</t>
  </si>
  <si>
    <t>Area per person m^2</t>
  </si>
  <si>
    <t>hab steel per person tonnes</t>
  </si>
  <si>
    <t>Min asteroid diameter m</t>
  </si>
  <si>
    <t>SPS radius m</t>
  </si>
  <si>
    <t>min.asteroid (m diameter)]</t>
  </si>
  <si>
    <t>floors (plus central park; not including endcap structures)</t>
  </si>
  <si>
    <t>Per-person agricultural, equipment, work, commons (excluding central park), and overhead (ductworks, stairwells, storage, hallways)</t>
  </si>
  <si>
    <t>Required Launches</t>
  </si>
  <si>
    <t>Internal rim structures mass (tonnes/m^2 of cylinder rim)</t>
  </si>
  <si>
    <t>Internal endcap structures mass (tonnes/m^2 of cylinder end caps)</t>
  </si>
  <si>
    <t>minimum hull thickness (m) for psychological comfort</t>
  </si>
  <si>
    <t>hull thickness (m)</t>
  </si>
  <si>
    <t>mass per launch vehicle (tonnes), average useful payload (reduced by fill factor, packaging)</t>
  </si>
  <si>
    <t>Engineering, Deployment, Management, and Overhead costs as % of material cost</t>
  </si>
  <si>
    <t>Shell design living area (m^2/resident of projected area)</t>
  </si>
  <si>
    <t>Internal structures mass (tonnes/m^2 of projected area)</t>
  </si>
  <si>
    <t>Shell design structural margin</t>
  </si>
  <si>
    <t>Minimum shell (hull) thickness (m) for psychological comfort</t>
  </si>
  <si>
    <t>angle (degrees) for drag computations (maximum cross section, approximate)</t>
  </si>
  <si>
    <t>Drag cross section (m^2)</t>
  </si>
  <si>
    <t>Drag mass/m^2 (tonnes)</t>
  </si>
  <si>
    <t>kw power per resident</t>
  </si>
  <si>
    <t>Volume per person (m^3)</t>
  </si>
  <si>
    <t>mass/resident (tonnes)</t>
  </si>
  <si>
    <t>Pressurized Volume (m^3)</t>
  </si>
  <si>
    <t>Launch capacity (tonnes)</t>
  </si>
  <si>
    <t>Launcher Price $M</t>
  </si>
  <si>
    <t xml:space="preserve">k$/kg </t>
  </si>
  <si>
    <t>k$/kg</t>
  </si>
  <si>
    <t>Outer Radius m</t>
  </si>
  <si>
    <t>Circumference m</t>
  </si>
  <si>
    <t>Tube Diameter m</t>
  </si>
  <si>
    <t>Tube Shell Area m^2</t>
  </si>
  <si>
    <t>Habitable Area (projected area) m^2</t>
  </si>
  <si>
    <t>Thickness m</t>
  </si>
  <si>
    <t>Solar Panel Area m^2</t>
  </si>
  <si>
    <t>Available Face Area m^2 (axial view cross section of primary tube)</t>
  </si>
  <si>
    <t>Surrounded area (total area enclosed by outer diameter in m^2)</t>
  </si>
  <si>
    <t>Total launch cost $B</t>
  </si>
  <si>
    <t>Materials cost $B</t>
  </si>
  <si>
    <t>Engineering cost $B</t>
  </si>
  <si>
    <t>TOTAL COST $B</t>
  </si>
  <si>
    <t>Cost per resident $B</t>
  </si>
  <si>
    <t>Price $M of launch vehicle (pay per launch OR amortized cost)</t>
  </si>
  <si>
    <t>This is a working area to play with alternate sizes, generally expressed as a function of radius</t>
  </si>
  <si>
    <r>
      <rPr>
        <b/>
        <sz val="11"/>
        <color indexed="8"/>
        <rFont val="Calibri"/>
        <family val="2"/>
      </rPr>
      <t>Knobs</t>
    </r>
    <r>
      <rPr>
        <sz val="11"/>
        <color theme="1"/>
        <rFont val="Calibri"/>
        <family val="2"/>
      </rPr>
      <t xml:space="preserve"> (hover over value for more description)</t>
    </r>
  </si>
  <si>
    <t>Average Materials cost $/kg or $k/tonne</t>
  </si>
  <si>
    <t>Materials cost $/kg</t>
  </si>
  <si>
    <t>Launch cost $B</t>
  </si>
  <si>
    <t>Materials Cost $B</t>
  </si>
  <si>
    <t>Other Costs $B</t>
  </si>
  <si>
    <t>TOTAL COSTS $B</t>
  </si>
  <si>
    <t>Cost/resident $B</t>
  </si>
  <si>
    <t>Per-person residential living area m^2</t>
  </si>
  <si>
    <t>Cylinder aspect ratio (width to radius)</t>
  </si>
  <si>
    <t>Knobs</t>
  </si>
  <si>
    <t>SPACE SETTLEMENT THE EASIEST WAY?</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</si>
</sst>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0;[Red]#,##0"/>
    <numFmt numFmtId="167" formatCode="#,##0.000;[Red]#,##0.000"/>
    <numFmt numFmtId="168" formatCode="#,##0.000"/>
    <numFmt numFmtId="169" formatCode="_(* #,##0_);_(* \(#,##0\);_(* &quot;-&quot;??_);_(@_)"/>
    <numFmt numFmtId="170" formatCode="0.000"/>
    <numFmt numFmtId="171" formatCode="_(&quot;$&quot;* #,##0_);_(&quot;$&quot;* \(#,##0\);_(&quot;$&quot;* &quot;-&quot;??_);_(@_)"/>
    <numFmt numFmtId="172" formatCode="&quot;$&quot;#,##0"/>
    <numFmt numFmtId="173" formatCode="_(&quot;$&quot;* #,##0.000_);_(&quot;$&quot;* \(#,##0.000\);_(&quot;$&quot;* &quot;-&quot;??_);_(@_)"/>
    <numFmt numFmtId="174" formatCode="&quot;$&quot;#,##0.000"/>
  </numFmts>
  <fonts count="39">
    <font>
      <sz val="11"/>
      <color theme="1"/>
      <name val="Calibri"/>
      <family val="2"/>
    </font>
    <font>
      <sz val="11"/>
      <color indexed="8"/>
      <name val="Calibri"/>
      <family val="2"/>
    </font>
    <font>
      <sz val="11"/>
      <color indexed="62"/>
      <name val="Calibri"/>
      <family val="2"/>
    </font>
    <font>
      <b/>
      <sz val="11"/>
      <color indexed="52"/>
      <name val="Calibri"/>
      <family val="2"/>
    </font>
    <font>
      <b/>
      <sz val="11"/>
      <color indexed="8"/>
      <name val="Calibri"/>
      <family val="2"/>
    </font>
    <font>
      <sz val="10"/>
      <name val="Arial"/>
      <family val="2"/>
    </font>
    <font>
      <b/>
      <sz val="10"/>
      <name val="Arial"/>
      <family val="2"/>
    </font>
    <font>
      <b/>
      <sz val="9"/>
      <name val="Tahoma"/>
      <family val="2"/>
    </font>
    <font>
      <sz val="9"/>
      <name val="Tahoma"/>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1">
    <xf numFmtId="0" fontId="0" fillId="0" borderId="0" xfId="0" applyFont="1" applyAlignment="1">
      <alignment/>
    </xf>
    <xf numFmtId="0" fontId="36" fillId="0" borderId="0" xfId="0" applyFont="1" applyAlignment="1">
      <alignment/>
    </xf>
    <xf numFmtId="9" fontId="0" fillId="0" borderId="0" xfId="0" applyNumberFormat="1" applyAlignment="1">
      <alignment/>
    </xf>
    <xf numFmtId="0" fontId="5" fillId="0" borderId="0" xfId="0" applyFont="1" applyAlignment="1">
      <alignment/>
    </xf>
    <xf numFmtId="4" fontId="0" fillId="0" borderId="0" xfId="0" applyNumberFormat="1" applyAlignment="1">
      <alignment/>
    </xf>
    <xf numFmtId="3" fontId="5" fillId="0" borderId="0" xfId="0" applyNumberFormat="1" applyFont="1" applyAlignment="1">
      <alignment/>
    </xf>
    <xf numFmtId="4" fontId="5" fillId="0" borderId="0" xfId="0" applyNumberFormat="1" applyFont="1" applyAlignment="1">
      <alignment/>
    </xf>
    <xf numFmtId="1" fontId="0" fillId="0" borderId="0" xfId="0" applyNumberFormat="1" applyAlignment="1">
      <alignment/>
    </xf>
    <xf numFmtId="3" fontId="0" fillId="0" borderId="0" xfId="0" applyNumberFormat="1" applyAlignment="1">
      <alignment/>
    </xf>
    <xf numFmtId="0" fontId="6" fillId="0" borderId="0" xfId="0" applyFont="1" applyAlignment="1">
      <alignment/>
    </xf>
    <xf numFmtId="3" fontId="6" fillId="0" borderId="0" xfId="0" applyNumberFormat="1" applyFont="1"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1" fontId="0" fillId="0" borderId="0" xfId="0" applyNumberFormat="1" applyAlignment="1">
      <alignment/>
    </xf>
    <xf numFmtId="2" fontId="5" fillId="0" borderId="0" xfId="0" applyNumberFormat="1" applyFont="1" applyAlignment="1">
      <alignment/>
    </xf>
    <xf numFmtId="1" fontId="5" fillId="0" borderId="0" xfId="0" applyNumberFormat="1" applyFont="1" applyAlignment="1">
      <alignment/>
    </xf>
    <xf numFmtId="168" fontId="0" fillId="0" borderId="0" xfId="0" applyNumberFormat="1" applyAlignment="1">
      <alignment/>
    </xf>
    <xf numFmtId="169" fontId="0" fillId="0" borderId="0" xfId="42" applyNumberFormat="1" applyFont="1" applyAlignment="1">
      <alignment/>
    </xf>
    <xf numFmtId="0" fontId="24" fillId="27" borderId="1" xfId="40" applyAlignment="1">
      <alignment/>
    </xf>
    <xf numFmtId="0" fontId="31" fillId="30" borderId="1" xfId="52" applyAlignment="1">
      <alignment/>
    </xf>
    <xf numFmtId="2" fontId="31" fillId="30" borderId="1" xfId="52" applyNumberFormat="1" applyAlignment="1">
      <alignment/>
    </xf>
    <xf numFmtId="164" fontId="31" fillId="30" borderId="1" xfId="52" applyNumberFormat="1" applyAlignment="1">
      <alignment/>
    </xf>
    <xf numFmtId="9" fontId="31" fillId="30" borderId="1" xfId="52" applyNumberFormat="1" applyAlignment="1">
      <alignment/>
    </xf>
    <xf numFmtId="168" fontId="5" fillId="0" borderId="0" xfId="0" applyNumberFormat="1" applyFont="1" applyAlignment="1">
      <alignment/>
    </xf>
    <xf numFmtId="170" fontId="5" fillId="0" borderId="0" xfId="0" applyNumberFormat="1" applyFont="1" applyAlignment="1">
      <alignment/>
    </xf>
    <xf numFmtId="170" fontId="0" fillId="0" borderId="0" xfId="0" applyNumberFormat="1" applyAlignment="1">
      <alignment/>
    </xf>
    <xf numFmtId="170" fontId="24" fillId="27" borderId="1" xfId="40" applyNumberFormat="1" applyAlignment="1">
      <alignment/>
    </xf>
    <xf numFmtId="44" fontId="0" fillId="0" borderId="0" xfId="44" applyFont="1" applyAlignment="1">
      <alignment/>
    </xf>
    <xf numFmtId="171" fontId="0" fillId="0" borderId="0" xfId="44" applyNumberFormat="1" applyFont="1" applyAlignment="1">
      <alignment/>
    </xf>
    <xf numFmtId="171" fontId="0" fillId="0" borderId="0" xfId="0" applyNumberFormat="1" applyAlignment="1">
      <alignment/>
    </xf>
    <xf numFmtId="44" fontId="0" fillId="0" borderId="0" xfId="0" applyNumberFormat="1" applyAlignment="1">
      <alignment/>
    </xf>
    <xf numFmtId="8" fontId="31" fillId="30" borderId="1" xfId="52" applyNumberFormat="1" applyAlignment="1">
      <alignment/>
    </xf>
    <xf numFmtId="172" fontId="0" fillId="0" borderId="0" xfId="0" applyNumberFormat="1" applyAlignment="1">
      <alignment/>
    </xf>
    <xf numFmtId="173" fontId="0" fillId="0" borderId="0" xfId="44" applyNumberFormat="1" applyFont="1" applyAlignment="1">
      <alignment/>
    </xf>
    <xf numFmtId="174" fontId="0" fillId="0" borderId="0" xfId="0" applyNumberFormat="1" applyAlignment="1">
      <alignment/>
    </xf>
    <xf numFmtId="173" fontId="0" fillId="0" borderId="0" xfId="0" applyNumberFormat="1" applyAlignment="1">
      <alignment/>
    </xf>
    <xf numFmtId="0" fontId="36" fillId="0" borderId="0" xfId="0" applyFont="1" applyAlignment="1">
      <alignment horizontal="right"/>
    </xf>
    <xf numFmtId="164" fontId="0" fillId="0" borderId="0" xfId="0" applyNumberFormat="1" applyAlignment="1">
      <alignment/>
    </xf>
    <xf numFmtId="4" fontId="31" fillId="30" borderId="1" xfId="52" applyNumberFormat="1" applyAlignment="1">
      <alignment/>
    </xf>
    <xf numFmtId="0" fontId="31" fillId="30" borderId="1" xfId="52"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U73"/>
  <sheetViews>
    <sheetView tabSelected="1" zoomScale="120" zoomScaleNormal="120" zoomScalePageLayoutView="120" workbookViewId="0" topLeftCell="A1">
      <selection activeCell="F3" sqref="F3"/>
    </sheetView>
  </sheetViews>
  <sheetFormatPr defaultColWidth="8.7109375" defaultRowHeight="15"/>
  <cols>
    <col min="1" max="1" width="17.421875" style="0" customWidth="1"/>
    <col min="2" max="2" width="9.421875" style="0" customWidth="1"/>
    <col min="3" max="3" width="9.7109375" style="0" customWidth="1"/>
    <col min="4" max="4" width="10.00390625" style="0" customWidth="1"/>
    <col min="5" max="6" width="11.140625" style="0" customWidth="1"/>
    <col min="7" max="7" width="13.00390625" style="0" customWidth="1"/>
    <col min="8" max="8" width="13.140625" style="0" hidden="1" customWidth="1"/>
    <col min="9" max="10" width="14.421875" style="0" hidden="1" customWidth="1"/>
    <col min="11" max="11" width="16.28125" style="0" hidden="1" customWidth="1"/>
    <col min="12" max="12" width="18.00390625" style="0" hidden="1" customWidth="1"/>
    <col min="13" max="13" width="16.421875" style="0" hidden="1" customWidth="1"/>
    <col min="14" max="14" width="14.28125" style="0" hidden="1" customWidth="1"/>
    <col min="15" max="15" width="9.00390625" style="0" hidden="1" customWidth="1"/>
    <col min="16" max="22" width="0" style="0" hidden="1" customWidth="1"/>
  </cols>
  <sheetData>
    <row r="1" ht="15">
      <c r="A1" s="1" t="s">
        <v>130</v>
      </c>
    </row>
    <row r="2" spans="1:11" ht="15">
      <c r="A2" s="1" t="s">
        <v>1</v>
      </c>
      <c r="J2">
        <v>15</v>
      </c>
      <c r="K2">
        <f>J2*12/39.37</f>
        <v>4.572009144018288</v>
      </c>
    </row>
    <row r="3" spans="1:11" ht="15">
      <c r="A3" t="s">
        <v>119</v>
      </c>
      <c r="J3">
        <v>30</v>
      </c>
      <c r="K3">
        <f>J3*12/39.37</f>
        <v>9.144018288036577</v>
      </c>
    </row>
    <row r="4" spans="1:11" ht="15">
      <c r="A4" s="21">
        <v>1</v>
      </c>
      <c r="B4" t="s">
        <v>128</v>
      </c>
      <c r="J4">
        <f>J2*J3</f>
        <v>450</v>
      </c>
      <c r="K4">
        <f>K2*K3</f>
        <v>41.80653522597368</v>
      </c>
    </row>
    <row r="5" spans="1:10" ht="15">
      <c r="A5" s="20">
        <v>0</v>
      </c>
      <c r="B5" t="s">
        <v>35</v>
      </c>
      <c r="J5">
        <f>(39.37/12)^2</f>
        <v>10.76386736111111</v>
      </c>
    </row>
    <row r="6" spans="1:2" ht="14.25" hidden="1">
      <c r="A6" s="19">
        <f>A5/2.5</f>
        <v>0</v>
      </c>
      <c r="B6" t="s">
        <v>36</v>
      </c>
    </row>
    <row r="7" spans="1:2" ht="15">
      <c r="A7" s="20">
        <v>2400</v>
      </c>
      <c r="B7" t="s">
        <v>37</v>
      </c>
    </row>
    <row r="8" spans="1:2" ht="15">
      <c r="A8" s="20">
        <v>1.3</v>
      </c>
      <c r="B8" t="s">
        <v>38</v>
      </c>
    </row>
    <row r="9" spans="1:2" ht="14.25" hidden="1">
      <c r="A9" s="20">
        <v>0.005</v>
      </c>
      <c r="B9" t="s">
        <v>84</v>
      </c>
    </row>
    <row r="10" spans="1:2" ht="14.25" hidden="1">
      <c r="A10" s="27">
        <f>(1+$A$19)*(10+A5+A11+A13/A14)</f>
        <v>41.5</v>
      </c>
      <c r="B10" t="s">
        <v>66</v>
      </c>
    </row>
    <row r="11" spans="1:2" ht="15">
      <c r="A11" s="20">
        <v>0.2</v>
      </c>
      <c r="B11" t="s">
        <v>82</v>
      </c>
    </row>
    <row r="12" spans="1:2" ht="15">
      <c r="A12" s="20">
        <v>0</v>
      </c>
      <c r="B12" t="s">
        <v>83</v>
      </c>
    </row>
    <row r="13" spans="1:2" ht="15">
      <c r="A13" s="20">
        <v>7</v>
      </c>
      <c r="B13" t="s">
        <v>39</v>
      </c>
    </row>
    <row r="14" spans="1:2" ht="15">
      <c r="A14" s="22">
        <v>40</v>
      </c>
      <c r="B14" t="s">
        <v>61</v>
      </c>
    </row>
    <row r="15" spans="1:2" ht="15">
      <c r="A15" s="22">
        <v>0</v>
      </c>
      <c r="B15" t="s">
        <v>60</v>
      </c>
    </row>
    <row r="16" spans="1:2" ht="14.25" hidden="1">
      <c r="A16" s="20">
        <v>4</v>
      </c>
      <c r="B16" t="s">
        <v>40</v>
      </c>
    </row>
    <row r="17" spans="1:2" ht="14.25" hidden="1">
      <c r="A17" s="23">
        <v>0.28</v>
      </c>
      <c r="B17" t="s">
        <v>41</v>
      </c>
    </row>
    <row r="18" spans="1:2" ht="14.25" hidden="1">
      <c r="A18" s="20">
        <v>6</v>
      </c>
      <c r="B18" t="s">
        <v>65</v>
      </c>
    </row>
    <row r="19" spans="1:2" ht="15">
      <c r="A19" s="23">
        <v>3</v>
      </c>
      <c r="B19" t="s">
        <v>59</v>
      </c>
    </row>
    <row r="20" spans="1:2" ht="14.25" hidden="1">
      <c r="A20" s="20">
        <v>55</v>
      </c>
      <c r="B20" t="s">
        <v>63</v>
      </c>
    </row>
    <row r="21" spans="1:2" ht="14.25" hidden="1">
      <c r="A21" s="20">
        <v>35</v>
      </c>
      <c r="B21" t="s">
        <v>127</v>
      </c>
    </row>
    <row r="22" spans="1:2" ht="14.25" hidden="1">
      <c r="A22" s="19">
        <f>1.2*(60/3+2+4+4)+A21/5</f>
        <v>43</v>
      </c>
      <c r="B22" t="s">
        <v>80</v>
      </c>
    </row>
    <row r="23" spans="1:2" ht="14.25" hidden="1">
      <c r="A23" s="19">
        <f>($A$21+$A$22)/$A$14</f>
        <v>1.95</v>
      </c>
      <c r="B23" t="s">
        <v>79</v>
      </c>
    </row>
    <row r="24" spans="1:2" ht="15">
      <c r="A24" s="20">
        <v>53</v>
      </c>
      <c r="B24" t="s">
        <v>86</v>
      </c>
    </row>
    <row r="25" spans="1:6" ht="14.25" hidden="1">
      <c r="A25" s="20">
        <v>90</v>
      </c>
      <c r="B25" t="s">
        <v>117</v>
      </c>
      <c r="E25" s="26">
        <f>A25/A24</f>
        <v>1.6981132075471699</v>
      </c>
      <c r="F25" t="s">
        <v>102</v>
      </c>
    </row>
    <row r="26" spans="1:2" ht="14.25" hidden="1">
      <c r="A26" s="32">
        <f>E25*1000</f>
        <v>1698.1132075471698</v>
      </c>
      <c r="B26" t="s">
        <v>120</v>
      </c>
    </row>
    <row r="27" spans="1:2" ht="14.25" hidden="1">
      <c r="A27" s="23">
        <v>1</v>
      </c>
      <c r="B27" t="s">
        <v>87</v>
      </c>
    </row>
    <row r="28" spans="1:15" ht="15">
      <c r="A28" s="1" t="s">
        <v>1</v>
      </c>
      <c r="O28" t="s">
        <v>118</v>
      </c>
    </row>
    <row r="29" spans="2:21" ht="15">
      <c r="B29" t="s">
        <v>2</v>
      </c>
      <c r="C29" t="s">
        <v>3</v>
      </c>
      <c r="D29" t="s">
        <v>4</v>
      </c>
      <c r="E29" t="s">
        <v>5</v>
      </c>
      <c r="F29" t="s">
        <v>6</v>
      </c>
      <c r="G29" t="s">
        <v>7</v>
      </c>
      <c r="H29" s="3" t="s">
        <v>8</v>
      </c>
      <c r="I29" t="s">
        <v>9</v>
      </c>
      <c r="J29" s="3" t="s">
        <v>10</v>
      </c>
      <c r="M29" t="s">
        <v>11</v>
      </c>
      <c r="O29" t="s">
        <v>12</v>
      </c>
      <c r="P29" s="4">
        <v>-2.5333333</v>
      </c>
      <c r="Q29" t="s">
        <v>13</v>
      </c>
      <c r="R29">
        <v>-1.06</v>
      </c>
      <c r="S29" t="s">
        <v>14</v>
      </c>
      <c r="T29">
        <v>1.47</v>
      </c>
      <c r="U29" t="s">
        <v>15</v>
      </c>
    </row>
    <row r="30" spans="1:17" ht="15">
      <c r="A30" t="s">
        <v>16</v>
      </c>
      <c r="B30" s="4">
        <v>1</v>
      </c>
      <c r="C30" s="4">
        <v>2</v>
      </c>
      <c r="D30" s="4">
        <v>3</v>
      </c>
      <c r="E30" s="4">
        <v>4</v>
      </c>
      <c r="F30" s="4">
        <v>5</v>
      </c>
      <c r="G30" s="4">
        <v>6</v>
      </c>
      <c r="H30" s="4">
        <v>0.75</v>
      </c>
      <c r="I30" s="4">
        <v>0.5</v>
      </c>
      <c r="J30" s="4">
        <v>0.4</v>
      </c>
      <c r="K30" s="4">
        <v>0.3</v>
      </c>
      <c r="L30" s="4">
        <v>0.25</v>
      </c>
      <c r="M30" s="4">
        <v>0.2</v>
      </c>
      <c r="N30" s="4" t="str">
        <f aca="true" t="shared" si="0" ref="N30:N70">A30</f>
        <v>RPM</v>
      </c>
      <c r="O30" s="4">
        <f>2.991*3^(-P30*0.25)</f>
        <v>5.473096469335546</v>
      </c>
      <c r="P30" s="4">
        <v>-2.2</v>
      </c>
      <c r="Q30" s="3" t="s">
        <v>17</v>
      </c>
    </row>
    <row r="31" spans="1:18" ht="15">
      <c r="A31" t="s">
        <v>67</v>
      </c>
      <c r="B31" s="5">
        <f>1/((3.14*B30/30)^2/9.8)</f>
        <v>894.559617023003</v>
      </c>
      <c r="C31" s="5">
        <f>1/((3.14*C30/30)^2/9.8)</f>
        <v>223.63990425575076</v>
      </c>
      <c r="D31" s="5">
        <f>1/((3.14*D30/30)^2/9.8)</f>
        <v>99.39551300255589</v>
      </c>
      <c r="E31" s="5">
        <f>1/((3.14*E30/30)^2/9.8)</f>
        <v>55.90997606393769</v>
      </c>
      <c r="F31" s="5">
        <f aca="true" t="shared" si="1" ref="F31:M31">1/((3.14*F30/30)^2/9.8)</f>
        <v>35.78238468092012</v>
      </c>
      <c r="G31" s="5">
        <f t="shared" si="1"/>
        <v>24.848878250638972</v>
      </c>
      <c r="H31" s="5">
        <f t="shared" si="1"/>
        <v>1590.3282080408942</v>
      </c>
      <c r="I31" s="5">
        <f t="shared" si="1"/>
        <v>3578.238468092012</v>
      </c>
      <c r="J31" s="5">
        <f t="shared" si="1"/>
        <v>5590.997606393766</v>
      </c>
      <c r="K31" s="5">
        <f t="shared" si="1"/>
        <v>9939.551300255589</v>
      </c>
      <c r="L31" s="5">
        <f t="shared" si="1"/>
        <v>14312.953872368049</v>
      </c>
      <c r="M31" s="5">
        <f t="shared" si="1"/>
        <v>22363.990425575063</v>
      </c>
      <c r="N31" s="4" t="str">
        <f t="shared" si="0"/>
        <v>Radius m</v>
      </c>
      <c r="O31" s="5">
        <f>1/((3.14*O30/30)^2/9.8)</f>
        <v>29.86366345604933</v>
      </c>
      <c r="P31" s="6"/>
      <c r="Q31" s="6"/>
      <c r="R31" s="7"/>
    </row>
    <row r="32" spans="1:18" ht="15">
      <c r="A32" t="s">
        <v>68</v>
      </c>
      <c r="B32" s="8">
        <f aca="true" t="shared" si="2" ref="B32:M32">B31*$A$4</f>
        <v>894.559617023003</v>
      </c>
      <c r="C32" s="8">
        <f t="shared" si="2"/>
        <v>223.63990425575076</v>
      </c>
      <c r="D32" s="8">
        <f t="shared" si="2"/>
        <v>99.39551300255589</v>
      </c>
      <c r="E32" s="8">
        <f t="shared" si="2"/>
        <v>55.90997606393769</v>
      </c>
      <c r="F32" s="8">
        <f t="shared" si="2"/>
        <v>35.78238468092012</v>
      </c>
      <c r="G32" s="8">
        <f t="shared" si="2"/>
        <v>24.848878250638972</v>
      </c>
      <c r="H32" s="8">
        <f t="shared" si="2"/>
        <v>1590.3282080408942</v>
      </c>
      <c r="I32" s="8">
        <f t="shared" si="2"/>
        <v>3578.238468092012</v>
      </c>
      <c r="J32" s="8">
        <f t="shared" si="2"/>
        <v>5590.997606393766</v>
      </c>
      <c r="K32" s="8">
        <f t="shared" si="2"/>
        <v>9939.551300255589</v>
      </c>
      <c r="L32" s="8">
        <f t="shared" si="2"/>
        <v>14312.953872368049</v>
      </c>
      <c r="M32" s="8">
        <f t="shared" si="2"/>
        <v>22363.990425575063</v>
      </c>
      <c r="N32" s="4" t="str">
        <f t="shared" si="0"/>
        <v>Width m</v>
      </c>
      <c r="O32" s="8">
        <f>O31*$A$4</f>
        <v>29.86366345604933</v>
      </c>
      <c r="P32" s="6"/>
      <c r="R32" s="7"/>
    </row>
    <row r="33" spans="1:17" ht="15">
      <c r="A33" s="9" t="s">
        <v>18</v>
      </c>
      <c r="B33" s="10">
        <f>IF($A$14=0,0,B62/$A$14)+IF($A$15=0,0,B61/$A$15)</f>
        <v>125637.19462010967</v>
      </c>
      <c r="C33" s="10">
        <f>IF($A$14=0,0,C62/$A$14)+IF($A$15=0,0,C61/$A$15)</f>
        <v>7852.3246637568545</v>
      </c>
      <c r="D33" s="10">
        <f>IF($A$14=0,0,D62/$A$14)+IF($A$15=0,0,D61/$A$15)</f>
        <v>1551.0764767914775</v>
      </c>
      <c r="E33" s="10">
        <f>IF($A$14=0,0,E62/$A$14)+IF($A$15=0,0,E61/$A$15)</f>
        <v>490.7702914848034</v>
      </c>
      <c r="F33" s="10">
        <f aca="true" t="shared" si="3" ref="F33:M33">IF($A$14=0,0,F62/$A$14)+IF($A$15=0,0,F61/$A$15)</f>
        <v>201.01951139217545</v>
      </c>
      <c r="G33" s="10">
        <f t="shared" si="3"/>
        <v>96.94227979946734</v>
      </c>
      <c r="H33" s="10">
        <f t="shared" si="3"/>
        <v>397075.57805861824</v>
      </c>
      <c r="I33" s="10">
        <f t="shared" si="3"/>
        <v>2010195.1139217548</v>
      </c>
      <c r="J33" s="10">
        <f t="shared" si="3"/>
        <v>4907702.914848028</v>
      </c>
      <c r="K33" s="10">
        <f t="shared" si="3"/>
        <v>15510764.767914776</v>
      </c>
      <c r="L33" s="10">
        <f t="shared" si="3"/>
        <v>32163121.822748076</v>
      </c>
      <c r="M33" s="10">
        <f t="shared" si="3"/>
        <v>78523246.63756844</v>
      </c>
      <c r="N33" s="4" t="str">
        <f t="shared" si="0"/>
        <v>Design Population</v>
      </c>
      <c r="O33" s="10">
        <f>IF($A$14=0,0,O62/$A$14)+IF($A$15=0,0,O61/$A$15)</f>
        <v>140.01862801753967</v>
      </c>
      <c r="P33" s="10"/>
      <c r="Q33" s="10"/>
    </row>
    <row r="34" spans="1:17" ht="14.25" hidden="1">
      <c r="A34" t="s">
        <v>69</v>
      </c>
      <c r="B34" s="8">
        <f aca="true" t="shared" si="4" ref="B34:M34">B32-B56*2*$A$16</f>
        <v>822.559617023003</v>
      </c>
      <c r="C34" s="8">
        <f t="shared" si="4"/>
        <v>167.63990425575076</v>
      </c>
      <c r="D34" s="8">
        <f t="shared" si="4"/>
        <v>51.39551300255589</v>
      </c>
      <c r="E34" s="8">
        <f t="shared" si="4"/>
        <v>15.909976063937691</v>
      </c>
      <c r="F34" s="8">
        <f t="shared" si="4"/>
        <v>-4.217615319079883</v>
      </c>
      <c r="G34" s="8">
        <f t="shared" si="4"/>
        <v>-7.151121749361028</v>
      </c>
      <c r="H34" s="8">
        <f t="shared" si="4"/>
        <v>1510.3282080408942</v>
      </c>
      <c r="I34" s="8">
        <f t="shared" si="4"/>
        <v>3490.238468092012</v>
      </c>
      <c r="J34" s="8">
        <f t="shared" si="4"/>
        <v>5494.997606393766</v>
      </c>
      <c r="K34" s="8">
        <f t="shared" si="4"/>
        <v>9835.551300255589</v>
      </c>
      <c r="L34" s="8">
        <f t="shared" si="4"/>
        <v>14208.953872368049</v>
      </c>
      <c r="M34" s="8">
        <f t="shared" si="4"/>
        <v>22251.990425575063</v>
      </c>
      <c r="N34" s="4" t="str">
        <f t="shared" si="0"/>
        <v>Central Park </v>
      </c>
      <c r="O34" s="8">
        <f>O32-O56*2*$A$16</f>
        <v>-2.1363365439506694</v>
      </c>
      <c r="P34" s="8"/>
      <c r="Q34" s="8"/>
    </row>
    <row r="35" spans="1:17" ht="14.25" hidden="1">
      <c r="A35" t="s">
        <v>19</v>
      </c>
      <c r="B35" s="8">
        <f aca="true" t="shared" si="5" ref="B35:M35">2*(B31-B56*$A$16)</f>
        <v>1717.119234046006</v>
      </c>
      <c r="C35" s="8">
        <f t="shared" si="5"/>
        <v>391.2798085115015</v>
      </c>
      <c r="D35" s="8">
        <f t="shared" si="5"/>
        <v>150.79102600511177</v>
      </c>
      <c r="E35" s="8">
        <f t="shared" si="5"/>
        <v>71.81995212787538</v>
      </c>
      <c r="F35" s="8">
        <f t="shared" si="5"/>
        <v>31.564769361840234</v>
      </c>
      <c r="G35" s="8">
        <f t="shared" si="5"/>
        <v>17.697756501277944</v>
      </c>
      <c r="H35" s="8">
        <f t="shared" si="5"/>
        <v>3100.6564160817884</v>
      </c>
      <c r="I35" s="8">
        <f t="shared" si="5"/>
        <v>7068.476936184024</v>
      </c>
      <c r="J35" s="8">
        <f t="shared" si="5"/>
        <v>11085.995212787531</v>
      </c>
      <c r="K35" s="8">
        <f t="shared" si="5"/>
        <v>19775.102600511178</v>
      </c>
      <c r="L35" s="8">
        <f t="shared" si="5"/>
        <v>28521.907744736098</v>
      </c>
      <c r="M35" s="8">
        <f t="shared" si="5"/>
        <v>44615.980851150125</v>
      </c>
      <c r="N35" s="4" t="str">
        <f t="shared" si="0"/>
        <v>Ceiling</v>
      </c>
      <c r="O35" s="8">
        <f>2*(O31-O56*$A$16)</f>
        <v>27.72732691209866</v>
      </c>
      <c r="P35" s="8"/>
      <c r="Q35" s="8"/>
    </row>
    <row r="36" spans="1:15" ht="14.25" hidden="1">
      <c r="A36" t="s">
        <v>20</v>
      </c>
      <c r="B36" s="8">
        <f aca="true" t="shared" si="6" ref="B36:M36">(2*3.14*(B31+$A$6)^2+2*3.14*(B31+$A$6)*(B32+2*$A$6))</f>
        <v>10050975.569608774</v>
      </c>
      <c r="C36" s="8">
        <f t="shared" si="6"/>
        <v>628185.9731005484</v>
      </c>
      <c r="D36" s="8">
        <f t="shared" si="6"/>
        <v>124086.11814331819</v>
      </c>
      <c r="E36" s="8">
        <f t="shared" si="6"/>
        <v>39261.62331878427</v>
      </c>
      <c r="F36" s="8">
        <f t="shared" si="6"/>
        <v>16081.560911374036</v>
      </c>
      <c r="G36" s="8">
        <f t="shared" si="6"/>
        <v>7755.382383957387</v>
      </c>
      <c r="H36" s="8">
        <f t="shared" si="6"/>
        <v>31766046.244689457</v>
      </c>
      <c r="I36" s="8">
        <f t="shared" si="6"/>
        <v>160815609.11374038</v>
      </c>
      <c r="J36" s="8">
        <f t="shared" si="6"/>
        <v>392616233.18784225</v>
      </c>
      <c r="K36" s="8">
        <f t="shared" si="6"/>
        <v>1240861181.4331818</v>
      </c>
      <c r="L36" s="8">
        <f t="shared" si="6"/>
        <v>2573049745.819846</v>
      </c>
      <c r="M36" s="8">
        <f t="shared" si="6"/>
        <v>6281859731.005476</v>
      </c>
      <c r="N36" s="4" t="str">
        <f t="shared" si="0"/>
        <v>Shell area</v>
      </c>
      <c r="O36" s="8">
        <f>(2*3.14*(O31+$A$6)^2+2*3.14*(O31+$A$6)*(O32+2*$A$6))</f>
        <v>11201.490241403175</v>
      </c>
    </row>
    <row r="37" spans="1:16" ht="15">
      <c r="A37" t="s">
        <v>21</v>
      </c>
      <c r="B37" s="11">
        <f>MAX($A$9*(B61+B62)*$A$8/1000,$A$8*1000*2*3.14*(B$31+$A$6)^3*($A$4+1)*($A$10*10000)/($A$7*1000000-$A$8*1000*((B$31+$A$6)/B$31)*9.8*(B$31+$E$298))/1000000)</f>
        <v>2030.7895759290102</v>
      </c>
      <c r="C37" s="11">
        <f>MAX($A$9*(C61+C62)*$A$8/1000,$A$8*1000*2*3.14*(C$31+$A$6)^3*($A$4+1)*($A$10*10000)/($A$7*1000000-$A$8*1000*((C$31+$A$6)/C$31)*9.8*(C$31+$E$298))/1000000)</f>
        <v>31.61794363372818</v>
      </c>
      <c r="D37" s="11">
        <f aca="true" t="shared" si="7" ref="D37:M37">MAX($A$9*(D61+D62)*$A$8/1000,$A$8*1000*2*3.14*(D$31+$A$6)^3*($A$4+1)*($A$10*10000)/($A$7*1000000-$A$8*1000*((D$31+$A$6)/D$31)*9.8*(D$31+$E$298))/1000000)</f>
        <v>2.773954863991341</v>
      </c>
      <c r="E37" s="11">
        <f>MAX($A$9*(E61+E62)*$A$8/1000,$A$8*1000*2*3.14*(E$31+$A$6)^3*($A$4+1)*($A$10*10000)/($A$7*1000000-$A$8*1000*((E$31+$A$6)/E$31)*9.8*(E$31+$E$298))/1000000)</f>
        <v>0.4935903706643681</v>
      </c>
      <c r="F37" s="11">
        <f t="shared" si="7"/>
        <v>0.12937792677305232</v>
      </c>
      <c r="G37" s="11">
        <f t="shared" si="7"/>
        <v>0.050409985495723016</v>
      </c>
      <c r="H37" s="11">
        <f t="shared" si="7"/>
        <v>11452.808712569773</v>
      </c>
      <c r="I37" s="11">
        <f t="shared" si="7"/>
        <v>131857.92516190893</v>
      </c>
      <c r="J37" s="11">
        <f t="shared" si="7"/>
        <v>508536.67706122575</v>
      </c>
      <c r="K37" s="11">
        <f t="shared" si="7"/>
        <v>2926922.8840748654</v>
      </c>
      <c r="L37" s="11">
        <f t="shared" si="7"/>
        <v>8959325.545101939</v>
      </c>
      <c r="M37" s="11">
        <f t="shared" si="7"/>
        <v>35834521.992104016</v>
      </c>
      <c r="N37" s="4" t="str">
        <f t="shared" si="0"/>
        <v>Shell (kT or kiloTons)</v>
      </c>
      <c r="O37" s="11">
        <f>MAX($A$9*(O61+O62)*$A$8/1000,$A$8*1000*2*3.14*(O$31+$A$6)^3*($A$4+1)*($A$10*10000)/($A$7*1000000-$A$8*1000*((O$31+$A$6)/O$31)*9.8*(O$31+$E$298))/1000000)</f>
        <v>0.07520867672316406</v>
      </c>
      <c r="P37" s="12"/>
    </row>
    <row r="38" spans="1:17" ht="15">
      <c r="A38" t="s">
        <v>85</v>
      </c>
      <c r="B38" s="13">
        <f aca="true" t="shared" si="8" ref="B38:M38">1000*B37/B36/$A$8</f>
        <v>0.15542230869222035</v>
      </c>
      <c r="C38" s="13">
        <f t="shared" si="8"/>
        <v>0.03871702989932074</v>
      </c>
      <c r="D38" s="13">
        <f t="shared" si="8"/>
        <v>0.017196213934059592</v>
      </c>
      <c r="E38" s="13">
        <f t="shared" si="8"/>
        <v>0.009670636830989015</v>
      </c>
      <c r="F38" s="13">
        <f t="shared" si="8"/>
        <v>0.006188546166729898</v>
      </c>
      <c r="G38" s="13">
        <f t="shared" si="8"/>
        <v>0.004999999999999999</v>
      </c>
      <c r="H38" s="13">
        <f t="shared" si="8"/>
        <v>0.27733551692148983</v>
      </c>
      <c r="I38" s="13">
        <f t="shared" si="8"/>
        <v>0.63071721557657</v>
      </c>
      <c r="J38" s="13">
        <f t="shared" si="8"/>
        <v>0.996347135475445</v>
      </c>
      <c r="K38" s="13">
        <f t="shared" si="8"/>
        <v>1.8144488483358108</v>
      </c>
      <c r="L38" s="13">
        <f t="shared" si="8"/>
        <v>2.678451472632421</v>
      </c>
      <c r="M38" s="13">
        <f t="shared" si="8"/>
        <v>4.388034451159422</v>
      </c>
      <c r="N38" s="4" t="str">
        <f t="shared" si="0"/>
        <v>hull thickness (m)</v>
      </c>
      <c r="O38" s="13">
        <f>1000*O37/O36/$A$8</f>
        <v>0.005164743886911667</v>
      </c>
      <c r="P38" s="4"/>
      <c r="Q38" s="3"/>
    </row>
    <row r="39" spans="1:18" ht="15">
      <c r="A39" t="s">
        <v>22</v>
      </c>
      <c r="B39" s="4">
        <f>($A$11*B62+$A$12*B61)/1000</f>
        <v>1005.0975569608775</v>
      </c>
      <c r="C39" s="4">
        <f aca="true" t="shared" si="9" ref="C39:M39">($A$11*C62+$A$12*C61)/1000</f>
        <v>62.81859731005484</v>
      </c>
      <c r="D39" s="4">
        <f t="shared" si="9"/>
        <v>12.40861181433182</v>
      </c>
      <c r="E39" s="4">
        <f t="shared" si="9"/>
        <v>3.9261623318784276</v>
      </c>
      <c r="F39" s="4">
        <f t="shared" si="9"/>
        <v>1.6081560911374035</v>
      </c>
      <c r="G39" s="4">
        <f t="shared" si="9"/>
        <v>0.7755382383957388</v>
      </c>
      <c r="H39" s="4">
        <f t="shared" si="9"/>
        <v>3176.604624468946</v>
      </c>
      <c r="I39" s="4">
        <f t="shared" si="9"/>
        <v>16081.56091137404</v>
      </c>
      <c r="J39" s="4">
        <f t="shared" si="9"/>
        <v>39261.62331878423</v>
      </c>
      <c r="K39" s="4">
        <f t="shared" si="9"/>
        <v>124086.1181433182</v>
      </c>
      <c r="L39" s="4">
        <f t="shared" si="9"/>
        <v>257304.97458198463</v>
      </c>
      <c r="M39" s="4">
        <f t="shared" si="9"/>
        <v>628185.9731005477</v>
      </c>
      <c r="N39" s="4" t="str">
        <f t="shared" si="0"/>
        <v>Internal Structures (kT)</v>
      </c>
      <c r="O39" s="4">
        <f>($A$11*O62+$A$12*O61)/1000</f>
        <v>1.1201490241403174</v>
      </c>
      <c r="P39" s="8"/>
      <c r="Q39" s="3"/>
      <c r="R39" s="3"/>
    </row>
    <row r="40" spans="1:19" ht="15">
      <c r="A40" t="s">
        <v>23</v>
      </c>
      <c r="B40" s="4">
        <f aca="true" t="shared" si="10" ref="B40:M40">IF(B38&gt;($A$5/$A$8),0,$A$5*B36)/1000</f>
        <v>0</v>
      </c>
      <c r="C40" s="4">
        <f t="shared" si="10"/>
        <v>0</v>
      </c>
      <c r="D40" s="4">
        <f t="shared" si="10"/>
        <v>0</v>
      </c>
      <c r="E40" s="4">
        <f t="shared" si="10"/>
        <v>0</v>
      </c>
      <c r="F40" s="4">
        <f t="shared" si="10"/>
        <v>0</v>
      </c>
      <c r="G40" s="4">
        <f t="shared" si="10"/>
        <v>0</v>
      </c>
      <c r="H40" s="4">
        <f t="shared" si="10"/>
        <v>0</v>
      </c>
      <c r="I40" s="4">
        <f t="shared" si="10"/>
        <v>0</v>
      </c>
      <c r="J40" s="4">
        <f t="shared" si="10"/>
        <v>0</v>
      </c>
      <c r="K40" s="4">
        <f t="shared" si="10"/>
        <v>0</v>
      </c>
      <c r="L40" s="4">
        <f t="shared" si="10"/>
        <v>0</v>
      </c>
      <c r="M40" s="4">
        <f t="shared" si="10"/>
        <v>0</v>
      </c>
      <c r="N40" s="4" t="str">
        <f t="shared" si="0"/>
        <v>Shield (kT)</v>
      </c>
      <c r="O40" s="4">
        <f>IF(O38&gt;($A$5/$A$8),0,$A$5*O36)/1000</f>
        <v>0</v>
      </c>
      <c r="P40" s="14"/>
      <c r="Q40" s="14"/>
      <c r="R40" s="15"/>
      <c r="S40" s="15"/>
    </row>
    <row r="41" spans="1:19" ht="15">
      <c r="A41" s="3" t="s">
        <v>48</v>
      </c>
      <c r="B41" s="4">
        <f aca="true" t="shared" si="11" ref="B41:M41">B33*($A$13)/1000</f>
        <v>879.4603623407678</v>
      </c>
      <c r="C41" s="4">
        <f t="shared" si="11"/>
        <v>54.96627264629799</v>
      </c>
      <c r="D41" s="4">
        <f t="shared" si="11"/>
        <v>10.857535337540343</v>
      </c>
      <c r="E41" s="4">
        <f t="shared" si="11"/>
        <v>3.4353920403936242</v>
      </c>
      <c r="F41" s="4">
        <f t="shared" si="11"/>
        <v>1.4071365797452282</v>
      </c>
      <c r="G41" s="4">
        <f t="shared" si="11"/>
        <v>0.6785959585962714</v>
      </c>
      <c r="H41" s="4">
        <f t="shared" si="11"/>
        <v>2779.5290464103277</v>
      </c>
      <c r="I41" s="4">
        <f t="shared" si="11"/>
        <v>14071.365797452285</v>
      </c>
      <c r="J41" s="4">
        <f t="shared" si="11"/>
        <v>34353.920403936194</v>
      </c>
      <c r="K41" s="4">
        <f t="shared" si="11"/>
        <v>108575.35337540343</v>
      </c>
      <c r="L41" s="4">
        <f t="shared" si="11"/>
        <v>225141.85275923656</v>
      </c>
      <c r="M41" s="4">
        <f t="shared" si="11"/>
        <v>549662.7264629791</v>
      </c>
      <c r="N41" s="4" t="str">
        <f>A41</f>
        <v>Non-structural mass kT</v>
      </c>
      <c r="O41" s="4">
        <f>O33*($A$13)/1000</f>
        <v>0.9801303961227777</v>
      </c>
      <c r="Q41" s="14"/>
      <c r="R41" s="15"/>
      <c r="S41" s="15"/>
    </row>
    <row r="42" spans="1:19" ht="15">
      <c r="A42" s="3" t="s">
        <v>49</v>
      </c>
      <c r="B42" s="4">
        <f>(1.2*B59/1000)/1000</f>
        <v>2698.7249170364094</v>
      </c>
      <c r="C42" s="4">
        <f aca="true" t="shared" si="12" ref="C42:M42">(1.2*C59/1000)/1000</f>
        <v>42.167576828693896</v>
      </c>
      <c r="D42" s="4">
        <f t="shared" si="12"/>
        <v>3.7019546187056362</v>
      </c>
      <c r="E42" s="4">
        <f t="shared" si="12"/>
        <v>0.6588683879483421</v>
      </c>
      <c r="F42" s="4">
        <f t="shared" si="12"/>
        <v>0.17271839469033012</v>
      </c>
      <c r="G42" s="4">
        <f t="shared" si="12"/>
        <v>0.057843040917275566</v>
      </c>
      <c r="H42" s="4">
        <f t="shared" si="12"/>
        <v>15163.206118218286</v>
      </c>
      <c r="I42" s="4">
        <f t="shared" si="12"/>
        <v>172718.3946903302</v>
      </c>
      <c r="J42" s="4">
        <f t="shared" si="12"/>
        <v>658868.3879483409</v>
      </c>
      <c r="K42" s="4">
        <f t="shared" si="12"/>
        <v>3701954.618705636</v>
      </c>
      <c r="L42" s="4">
        <f t="shared" si="12"/>
        <v>11053977.260181133</v>
      </c>
      <c r="M42" s="4">
        <f t="shared" si="12"/>
        <v>42167576.828693815</v>
      </c>
      <c r="N42" s="4" t="str">
        <f>A42</f>
        <v>Air mass kT</v>
      </c>
      <c r="O42" s="4">
        <f>(1.2*O59/1000)/1000</f>
        <v>0.10040607726834232</v>
      </c>
      <c r="Q42" s="14"/>
      <c r="R42" s="15"/>
      <c r="S42" s="15"/>
    </row>
    <row r="43" spans="1:17" ht="15">
      <c r="A43" t="s">
        <v>24</v>
      </c>
      <c r="B43" s="4">
        <f>B37+B39+B40+B41+B42</f>
        <v>6614.072412267065</v>
      </c>
      <c r="C43" s="4">
        <f aca="true" t="shared" si="13" ref="C43:M43">C37+C39+C40+C41+C42</f>
        <v>191.57039041877493</v>
      </c>
      <c r="D43" s="4">
        <f t="shared" si="13"/>
        <v>29.74205663456914</v>
      </c>
      <c r="E43" s="4">
        <f t="shared" si="13"/>
        <v>8.514013130884761</v>
      </c>
      <c r="F43" s="4">
        <f t="shared" si="13"/>
        <v>3.3173889923460145</v>
      </c>
      <c r="G43" s="4">
        <f t="shared" si="13"/>
        <v>1.562387223405009</v>
      </c>
      <c r="H43" s="4">
        <f t="shared" si="13"/>
        <v>32572.148501667332</v>
      </c>
      <c r="I43" s="4">
        <f t="shared" si="13"/>
        <v>334729.24656106543</v>
      </c>
      <c r="J43" s="4">
        <f t="shared" si="13"/>
        <v>1241020.6087322868</v>
      </c>
      <c r="K43" s="4">
        <f t="shared" si="13"/>
        <v>6861538.974299222</v>
      </c>
      <c r="L43" s="4">
        <f t="shared" si="13"/>
        <v>20495749.63262429</v>
      </c>
      <c r="M43" s="4">
        <f t="shared" si="13"/>
        <v>79179947.52036136</v>
      </c>
      <c r="N43" s="4" t="str">
        <f t="shared" si="0"/>
        <v>Total Mass (kT)</v>
      </c>
      <c r="O43" s="4">
        <f>O37+O39+O40+O41+O42</f>
        <v>2.2758941742546015</v>
      </c>
      <c r="P43" s="14"/>
      <c r="Q43" s="14"/>
    </row>
    <row r="44" spans="1:16" ht="15">
      <c r="A44" t="s">
        <v>25</v>
      </c>
      <c r="B44" s="8">
        <f>4082/B43</f>
        <v>0.6171689309644007</v>
      </c>
      <c r="C44" s="8">
        <f>4082/C43</f>
        <v>21.308094591636547</v>
      </c>
      <c r="D44" s="8">
        <f>4082/D43</f>
        <v>137.246729442896</v>
      </c>
      <c r="E44" s="8">
        <f>4082/E43</f>
        <v>479.44487954716203</v>
      </c>
      <c r="F44" s="8">
        <f>4082/F43</f>
        <v>1230.4857854831375</v>
      </c>
      <c r="G44" s="8">
        <f>4082/G43</f>
        <v>2612.66857463404</v>
      </c>
      <c r="H44" s="8"/>
      <c r="I44" s="8"/>
      <c r="J44" s="8"/>
      <c r="K44" s="8"/>
      <c r="L44" s="8"/>
      <c r="M44" s="8"/>
      <c r="N44" s="4" t="str">
        <f t="shared" si="0"/>
        <v>Reduction Factor</v>
      </c>
      <c r="O44" s="8">
        <f>$B$43/O43</f>
        <v>2906.1423360922745</v>
      </c>
      <c r="P44" s="14"/>
    </row>
    <row r="45" spans="1:16" ht="14.25" hidden="1">
      <c r="A45" t="s">
        <v>78</v>
      </c>
      <c r="B45" s="8">
        <f>MAX(2*(0.75*(1000*(B37+B39)/6)/3.14)^(1/3),2*(0.75*(1000*1.4*B40/2.7)/3.14)^(1/3))</f>
        <v>98.88232237250155</v>
      </c>
      <c r="C45" s="8">
        <f aca="true" t="shared" si="14" ref="C45:M45">MAX(2*(0.75*(1000*(C37+C39)/6)/3.14)^(1/3),2*(0.75*(1000*1.4*C40/2.7)/3.14)^(1/3))</f>
        <v>31.098311378337034</v>
      </c>
      <c r="D45" s="8">
        <f>MAX(2*(0.75*(1000*(D37+D39)/6)/3.14)^(1/3),2*(0.75*(1000*1.4*D40/2.7)/3.14)^(1/3))</f>
        <v>16.909801764660287</v>
      </c>
      <c r="E45" s="8">
        <f t="shared" si="14"/>
        <v>11.20700177341718</v>
      </c>
      <c r="F45" s="8">
        <f t="shared" si="14"/>
        <v>8.209837404168201</v>
      </c>
      <c r="G45" s="8">
        <f t="shared" si="14"/>
        <v>6.4072901597926855</v>
      </c>
      <c r="H45" s="8">
        <f t="shared" si="14"/>
        <v>167.01895195832853</v>
      </c>
      <c r="I45" s="8">
        <f t="shared" si="14"/>
        <v>361.17539176255895</v>
      </c>
      <c r="J45" s="8">
        <f t="shared" si="14"/>
        <v>558.7664786104667</v>
      </c>
      <c r="K45" s="8">
        <f t="shared" si="14"/>
        <v>990.462294007178</v>
      </c>
      <c r="L45" s="8">
        <f t="shared" si="14"/>
        <v>1431.7950056600725</v>
      </c>
      <c r="M45" s="8">
        <f t="shared" si="14"/>
        <v>2264.5039906198895</v>
      </c>
      <c r="N45" s="4" t="str">
        <f t="shared" si="0"/>
        <v>min.asteroid (m diameter)]</v>
      </c>
      <c r="O45" s="8">
        <f>MAX(2*(0.75*(1000*(O37+O39)/6)/3.14)^(1/3),2*(0.75*(1000*1.4*O40/2.7)/3.14)^(1/3))</f>
        <v>7.247519823099873</v>
      </c>
      <c r="P45" s="3"/>
    </row>
    <row r="46" spans="1:18" ht="15">
      <c r="A46" t="s">
        <v>26</v>
      </c>
      <c r="B46" s="8">
        <f>1000*B43/B33</f>
        <v>52.644222375914204</v>
      </c>
      <c r="C46" s="8">
        <f aca="true" t="shared" si="15" ref="C46:M46">1000*C43/C33</f>
        <v>24.396646677510184</v>
      </c>
      <c r="D46" s="8">
        <f t="shared" si="15"/>
        <v>19.175106501578114</v>
      </c>
      <c r="E46" s="8">
        <f t="shared" si="15"/>
        <v>17.348265122418063</v>
      </c>
      <c r="F46" s="8">
        <f t="shared" si="15"/>
        <v>16.502820892216842</v>
      </c>
      <c r="G46" s="8">
        <f t="shared" si="15"/>
        <v>16.116675063108982</v>
      </c>
      <c r="H46" s="8">
        <f t="shared" si="15"/>
        <v>82.03009779880966</v>
      </c>
      <c r="I46" s="8">
        <f t="shared" si="15"/>
        <v>166.5157995076564</v>
      </c>
      <c r="J46" s="8">
        <f t="shared" si="15"/>
        <v>252.87199128896668</v>
      </c>
      <c r="K46" s="8">
        <f t="shared" si="15"/>
        <v>442.37270547051617</v>
      </c>
      <c r="L46" s="8">
        <f t="shared" si="15"/>
        <v>637.2437895045443</v>
      </c>
      <c r="M46" s="8">
        <f t="shared" si="15"/>
        <v>1008.3631397186616</v>
      </c>
      <c r="N46" s="4" t="str">
        <f t="shared" si="0"/>
        <v>Total mass per person (tonnes)</v>
      </c>
      <c r="O46" s="8">
        <f>1000*O43/O33</f>
        <v>16.25422421629148</v>
      </c>
      <c r="Q46" s="8"/>
      <c r="R46" s="3"/>
    </row>
    <row r="47" spans="1:18" ht="14.25" hidden="1">
      <c r="A47" s="3" t="s">
        <v>77</v>
      </c>
      <c r="B47" s="7">
        <f>(($A$18*1000*B33)/(1366*$A$17)/3.14)^0.5</f>
        <v>792.2560256852129</v>
      </c>
      <c r="C47" s="7">
        <f aca="true" t="shared" si="16" ref="C47:M47">(($A$18*1000*C33)/(1366*$A$17)/3.14)^0.5</f>
        <v>198.06400642130322</v>
      </c>
      <c r="D47" s="7">
        <f t="shared" si="16"/>
        <v>88.028447298357</v>
      </c>
      <c r="E47" s="7">
        <f t="shared" si="16"/>
        <v>49.516001605325805</v>
      </c>
      <c r="F47" s="7">
        <f t="shared" si="16"/>
        <v>31.69024102740851</v>
      </c>
      <c r="G47" s="7">
        <f t="shared" si="16"/>
        <v>22.00711182458925</v>
      </c>
      <c r="H47" s="7">
        <f t="shared" si="16"/>
        <v>1408.455156773712</v>
      </c>
      <c r="I47" s="7">
        <f t="shared" si="16"/>
        <v>3169.0241027408515</v>
      </c>
      <c r="J47" s="7">
        <f t="shared" si="16"/>
        <v>4951.600160532577</v>
      </c>
      <c r="K47" s="7">
        <f t="shared" si="16"/>
        <v>8802.844729835699</v>
      </c>
      <c r="L47" s="7">
        <f t="shared" si="16"/>
        <v>12676.096410963406</v>
      </c>
      <c r="M47" s="7">
        <f t="shared" si="16"/>
        <v>19806.40064213031</v>
      </c>
      <c r="N47" s="4" t="str">
        <f t="shared" si="0"/>
        <v>SPS radius m</v>
      </c>
      <c r="O47" s="7">
        <f>(($A$18*1000*O33)/(1366*$A$17)/3.14)^0.5</f>
        <v>26.448396363818844</v>
      </c>
      <c r="Q47" s="2"/>
      <c r="R47" s="3"/>
    </row>
    <row r="48" spans="1:18" ht="14.25" hidden="1">
      <c r="A48" t="s">
        <v>27</v>
      </c>
      <c r="B48" s="7">
        <f>3.14*2*B31/(60/B30)</f>
        <v>93.63057324840766</v>
      </c>
      <c r="C48" s="7">
        <f aca="true" t="shared" si="17" ref="C48:M48">3.14*2*C31/(60/C30)</f>
        <v>46.81528662420383</v>
      </c>
      <c r="D48" s="7">
        <f t="shared" si="17"/>
        <v>31.21019108280255</v>
      </c>
      <c r="E48" s="7">
        <f t="shared" si="17"/>
        <v>23.407643312101914</v>
      </c>
      <c r="F48" s="7">
        <f t="shared" si="17"/>
        <v>18.72611464968153</v>
      </c>
      <c r="G48" s="7">
        <f t="shared" si="17"/>
        <v>15.605095541401274</v>
      </c>
      <c r="H48" s="7">
        <f t="shared" si="17"/>
        <v>124.8407643312102</v>
      </c>
      <c r="I48" s="7">
        <f t="shared" si="17"/>
        <v>187.26114649681531</v>
      </c>
      <c r="J48" s="7">
        <f t="shared" si="17"/>
        <v>234.07643312101897</v>
      </c>
      <c r="K48" s="7">
        <f t="shared" si="17"/>
        <v>312.1019108280255</v>
      </c>
      <c r="L48" s="7">
        <f t="shared" si="17"/>
        <v>374.52229299363063</v>
      </c>
      <c r="M48" s="7">
        <f t="shared" si="17"/>
        <v>468.15286624203793</v>
      </c>
      <c r="N48" s="4" t="str">
        <f t="shared" si="0"/>
        <v>tangential velocity (meters per second)</v>
      </c>
      <c r="O48" s="7">
        <f>3.14*2*O31/(60/O30)</f>
        <v>17.107422420378924</v>
      </c>
      <c r="Q48" s="7"/>
      <c r="R48" s="3"/>
    </row>
    <row r="49" spans="1:18" ht="14.25" hidden="1">
      <c r="A49" s="3" t="s">
        <v>28</v>
      </c>
      <c r="B49" s="7">
        <f>B48*3.28*3600/5280</f>
        <v>209.39200926462073</v>
      </c>
      <c r="C49" s="7">
        <f aca="true" t="shared" si="18" ref="C49:M49">C48*3.28*3600/5280</f>
        <v>104.69600463231036</v>
      </c>
      <c r="D49" s="7">
        <f t="shared" si="18"/>
        <v>69.79733642154024</v>
      </c>
      <c r="E49" s="7">
        <f t="shared" si="18"/>
        <v>52.34800231615518</v>
      </c>
      <c r="F49" s="7">
        <f t="shared" si="18"/>
        <v>41.87840185292415</v>
      </c>
      <c r="G49" s="7">
        <f t="shared" si="18"/>
        <v>34.89866821077012</v>
      </c>
      <c r="H49" s="7">
        <f t="shared" si="18"/>
        <v>279.18934568616095</v>
      </c>
      <c r="I49" s="7">
        <f t="shared" si="18"/>
        <v>418.78401852924145</v>
      </c>
      <c r="J49" s="7">
        <f t="shared" si="18"/>
        <v>523.4800231615515</v>
      </c>
      <c r="K49" s="7">
        <f t="shared" si="18"/>
        <v>697.9733642154024</v>
      </c>
      <c r="L49" s="7">
        <f t="shared" si="18"/>
        <v>837.5680370584829</v>
      </c>
      <c r="M49" s="7">
        <f t="shared" si="18"/>
        <v>1046.960046323103</v>
      </c>
      <c r="N49" s="4" t="str">
        <f t="shared" si="0"/>
        <v>mph</v>
      </c>
      <c r="O49" s="7">
        <f>O48*3.28*3600/5280</f>
        <v>38.25841741284741</v>
      </c>
      <c r="Q49" s="7"/>
      <c r="R49" s="3"/>
    </row>
    <row r="50" spans="1:18" ht="14.25" hidden="1">
      <c r="A50" s="3" t="s">
        <v>29</v>
      </c>
      <c r="B50" s="8">
        <f>(B37+B39)*1000/365</f>
        <v>8317.498994218871</v>
      </c>
      <c r="C50" s="8">
        <f aca="true" t="shared" si="19" ref="C50:M50">(C37+C39)*1000/365</f>
        <v>258.73024916104936</v>
      </c>
      <c r="D50" s="8">
        <f t="shared" si="19"/>
        <v>41.59607309129633</v>
      </c>
      <c r="E50" s="8">
        <f t="shared" si="19"/>
        <v>12.108911513815878</v>
      </c>
      <c r="F50" s="8">
        <f t="shared" si="19"/>
        <v>4.760367172357413</v>
      </c>
      <c r="G50" s="8">
        <f t="shared" si="19"/>
        <v>2.2628718462779775</v>
      </c>
      <c r="H50" s="8">
        <f t="shared" si="19"/>
        <v>40080.58448503759</v>
      </c>
      <c r="I50" s="8">
        <f t="shared" si="19"/>
        <v>405313.6604747479</v>
      </c>
      <c r="J50" s="8">
        <f t="shared" si="19"/>
        <v>1500817.2613150957</v>
      </c>
      <c r="K50" s="8">
        <f t="shared" si="19"/>
        <v>8358928.773200503</v>
      </c>
      <c r="L50" s="8">
        <f t="shared" si="19"/>
        <v>25251042.519681983</v>
      </c>
      <c r="M50" s="8">
        <f t="shared" si="19"/>
        <v>99897830.04165635</v>
      </c>
      <c r="N50" s="4" t="str">
        <f t="shared" si="0"/>
        <v>steel production tons per day years</v>
      </c>
      <c r="O50" s="8">
        <f>(O37+O39)*1000/365</f>
        <v>3.2749526051054287</v>
      </c>
      <c r="Q50" s="8"/>
      <c r="R50" s="3"/>
    </row>
    <row r="51" spans="1:15" ht="14.25" hidden="1">
      <c r="A51" s="3" t="s">
        <v>30</v>
      </c>
      <c r="B51" s="8">
        <f>(B40/0.7)</f>
        <v>0</v>
      </c>
      <c r="C51" s="8">
        <f aca="true" t="shared" si="20" ref="C51:M51">(C40/0.7)</f>
        <v>0</v>
      </c>
      <c r="D51" s="8">
        <f t="shared" si="20"/>
        <v>0</v>
      </c>
      <c r="E51" s="8">
        <f t="shared" si="20"/>
        <v>0</v>
      </c>
      <c r="F51" s="8">
        <f t="shared" si="20"/>
        <v>0</v>
      </c>
      <c r="G51" s="8">
        <f t="shared" si="20"/>
        <v>0</v>
      </c>
      <c r="H51" s="8">
        <f t="shared" si="20"/>
        <v>0</v>
      </c>
      <c r="I51" s="8">
        <f t="shared" si="20"/>
        <v>0</v>
      </c>
      <c r="J51" s="8">
        <f t="shared" si="20"/>
        <v>0</v>
      </c>
      <c r="K51" s="8">
        <f t="shared" si="20"/>
        <v>0</v>
      </c>
      <c r="L51" s="8">
        <f t="shared" si="20"/>
        <v>0</v>
      </c>
      <c r="M51" s="8">
        <f t="shared" si="20"/>
        <v>0</v>
      </c>
      <c r="N51" s="4" t="str">
        <f t="shared" si="0"/>
        <v>kt Ore Mass (to produce required mass of shield as product after extracting volatiles and steel)</v>
      </c>
      <c r="O51" s="8">
        <f>(O40/0.7)</f>
        <v>0</v>
      </c>
    </row>
    <row r="52" spans="1:17" ht="14.25" hidden="1">
      <c r="A52" s="3" t="s">
        <v>31</v>
      </c>
      <c r="B52" s="8">
        <f>1000*B43/365</f>
        <v>18120.746334978263</v>
      </c>
      <c r="C52" s="8">
        <f aca="true" t="shared" si="21" ref="C52:M52">1000*C43/365</f>
        <v>524.8503847089725</v>
      </c>
      <c r="D52" s="8">
        <f t="shared" si="21"/>
        <v>81.48508667005243</v>
      </c>
      <c r="E52" s="8">
        <f t="shared" si="21"/>
        <v>23.326063372287017</v>
      </c>
      <c r="F52" s="8">
        <f t="shared" si="21"/>
        <v>9.088736965331547</v>
      </c>
      <c r="G52" s="8">
        <f t="shared" si="21"/>
        <v>4.28051294083564</v>
      </c>
      <c r="H52" s="8">
        <f t="shared" si="21"/>
        <v>89238.76301826666</v>
      </c>
      <c r="I52" s="8">
        <f t="shared" si="21"/>
        <v>917066.4289344258</v>
      </c>
      <c r="J52" s="8">
        <f t="shared" si="21"/>
        <v>3400056.462280238</v>
      </c>
      <c r="K52" s="8">
        <f t="shared" si="21"/>
        <v>18798736.91588828</v>
      </c>
      <c r="L52" s="8">
        <f t="shared" si="21"/>
        <v>56152738.7195186</v>
      </c>
      <c r="M52" s="8">
        <f t="shared" si="21"/>
        <v>216931363.06948316</v>
      </c>
      <c r="N52" s="4" t="str">
        <f t="shared" si="0"/>
        <v>Ore tons per day years to use only slag as shield (resulting in excess steel production)</v>
      </c>
      <c r="O52" s="8">
        <f>1000*O43/365</f>
        <v>6.235326504807128</v>
      </c>
      <c r="Q52" s="8"/>
    </row>
    <row r="53" spans="1:15" ht="14.25" hidden="1">
      <c r="A53" s="3" t="s">
        <v>32</v>
      </c>
      <c r="B53" s="4">
        <f>(B40/3.5-(B37+B39))/25</f>
        <v>-121.4354853155955</v>
      </c>
      <c r="C53" s="4">
        <f aca="true" t="shared" si="22" ref="C53:M53">(C40/3.5-(C37+C39))/25</f>
        <v>-3.7774616377513213</v>
      </c>
      <c r="D53" s="4">
        <f t="shared" si="22"/>
        <v>-0.6073026671329265</v>
      </c>
      <c r="E53" s="4">
        <f t="shared" si="22"/>
        <v>-0.1767901081017118</v>
      </c>
      <c r="F53" s="4">
        <f t="shared" si="22"/>
        <v>-0.06950136071641824</v>
      </c>
      <c r="G53" s="4">
        <f t="shared" si="22"/>
        <v>-0.03303792895565847</v>
      </c>
      <c r="H53" s="4">
        <f t="shared" si="22"/>
        <v>-585.1765334815487</v>
      </c>
      <c r="I53" s="4">
        <f t="shared" si="22"/>
        <v>-5917.579442931319</v>
      </c>
      <c r="J53" s="4">
        <f t="shared" si="22"/>
        <v>-21911.932015200397</v>
      </c>
      <c r="K53" s="4">
        <f t="shared" si="22"/>
        <v>-122040.36008872735</v>
      </c>
      <c r="L53" s="4">
        <f t="shared" si="22"/>
        <v>-368665.22078735696</v>
      </c>
      <c r="M53" s="4">
        <f t="shared" si="22"/>
        <v>-1458508.3186081827</v>
      </c>
      <c r="N53" s="4" t="str">
        <f t="shared" si="0"/>
        <v>Excess Steel (as steel resulting from production of slag shield, counted as 5 GW SPSs at 25 kt each)</v>
      </c>
      <c r="O53" s="4">
        <f>(O40/3.5-(O37+O39))/25</f>
        <v>-0.04781430803453926</v>
      </c>
    </row>
    <row r="54" spans="1:15" ht="14.25" hidden="1">
      <c r="A54" s="3" t="s">
        <v>76</v>
      </c>
      <c r="B54" s="4">
        <f>2*((B40/0.7)*1000/(4*3.14*2.6/3))^(1/3)</f>
        <v>0</v>
      </c>
      <c r="C54" s="4">
        <f aca="true" t="shared" si="23" ref="C54:M54">2*((C40/0.7)*1000/(4*3.14*2.6/3))^(1/3)</f>
        <v>0</v>
      </c>
      <c r="D54" s="4">
        <f t="shared" si="23"/>
        <v>0</v>
      </c>
      <c r="E54" s="4">
        <f t="shared" si="23"/>
        <v>0</v>
      </c>
      <c r="F54" s="4">
        <f t="shared" si="23"/>
        <v>0</v>
      </c>
      <c r="G54" s="4">
        <f t="shared" si="23"/>
        <v>0</v>
      </c>
      <c r="H54" s="4">
        <f t="shared" si="23"/>
        <v>0</v>
      </c>
      <c r="I54" s="4">
        <f t="shared" si="23"/>
        <v>0</v>
      </c>
      <c r="J54" s="4">
        <f t="shared" si="23"/>
        <v>0</v>
      </c>
      <c r="K54" s="4">
        <f t="shared" si="23"/>
        <v>0</v>
      </c>
      <c r="L54" s="4">
        <f t="shared" si="23"/>
        <v>0</v>
      </c>
      <c r="M54" s="4">
        <f t="shared" si="23"/>
        <v>0</v>
      </c>
      <c r="N54" s="4" t="str">
        <f t="shared" si="0"/>
        <v>Min asteroid diameter m</v>
      </c>
      <c r="O54" s="4">
        <f>2*((O40/0.7)*1000/(4*3.14*2.6/3))^(1/3)</f>
        <v>0</v>
      </c>
    </row>
    <row r="55" spans="1:15" ht="14.25" hidden="1">
      <c r="A55" s="3" t="s">
        <v>75</v>
      </c>
      <c r="B55" s="12">
        <f>1000*(B37+B39)/B33</f>
        <v>24.163920103990918</v>
      </c>
      <c r="C55" s="12">
        <f aca="true" t="shared" si="24" ref="C55:M55">1000*(C37+C39)/C33</f>
        <v>12.026571109529359</v>
      </c>
      <c r="D55" s="12">
        <f t="shared" si="24"/>
        <v>9.788406249142197</v>
      </c>
      <c r="E55" s="12">
        <f t="shared" si="24"/>
        <v>9.005746230422858</v>
      </c>
      <c r="F55" s="12">
        <f t="shared" si="24"/>
        <v>8.64360880133991</v>
      </c>
      <c r="G55" s="12">
        <f t="shared" si="24"/>
        <v>8.52</v>
      </c>
      <c r="H55" s="12">
        <f t="shared" si="24"/>
        <v>36.84289375983494</v>
      </c>
      <c r="I55" s="12">
        <f t="shared" si="24"/>
        <v>73.5945904199633</v>
      </c>
      <c r="J55" s="12">
        <f t="shared" si="24"/>
        <v>111.62010208944626</v>
      </c>
      <c r="K55" s="12">
        <f t="shared" si="24"/>
        <v>196.7026802269243</v>
      </c>
      <c r="L55" s="12">
        <f t="shared" si="24"/>
        <v>286.5589531537719</v>
      </c>
      <c r="M55" s="12">
        <f t="shared" si="24"/>
        <v>464.35558292058</v>
      </c>
      <c r="N55" s="4" t="str">
        <f t="shared" si="0"/>
        <v>hab steel per person tonnes</v>
      </c>
      <c r="O55" s="12">
        <f>1000*(O37+O39)/O33</f>
        <v>8.537133364238814</v>
      </c>
    </row>
    <row r="56" spans="1:17" ht="14.25" hidden="1">
      <c r="A56" s="16" t="s">
        <v>33</v>
      </c>
      <c r="B56" s="7">
        <f aca="true" t="shared" si="25" ref="B56:M56">FLOOR(LOG(B31,2),1)</f>
        <v>9</v>
      </c>
      <c r="C56" s="7">
        <f t="shared" si="25"/>
        <v>7</v>
      </c>
      <c r="D56" s="7">
        <f t="shared" si="25"/>
        <v>6</v>
      </c>
      <c r="E56" s="7">
        <f t="shared" si="25"/>
        <v>5</v>
      </c>
      <c r="F56" s="7">
        <f t="shared" si="25"/>
        <v>5</v>
      </c>
      <c r="G56" s="7">
        <f t="shared" si="25"/>
        <v>4</v>
      </c>
      <c r="H56" s="7">
        <f t="shared" si="25"/>
        <v>10</v>
      </c>
      <c r="I56" s="7">
        <f t="shared" si="25"/>
        <v>11</v>
      </c>
      <c r="J56" s="7">
        <f t="shared" si="25"/>
        <v>12</v>
      </c>
      <c r="K56" s="7">
        <f t="shared" si="25"/>
        <v>13</v>
      </c>
      <c r="L56" s="7">
        <f t="shared" si="25"/>
        <v>13</v>
      </c>
      <c r="M56" s="7">
        <f t="shared" si="25"/>
        <v>14</v>
      </c>
      <c r="N56" s="7" t="str">
        <f t="shared" si="0"/>
        <v>Levels (work/live/play)</v>
      </c>
      <c r="O56" s="7">
        <f>FLOOR(LOG(O31,2),1)</f>
        <v>4</v>
      </c>
      <c r="P56" s="12"/>
      <c r="Q56" s="8"/>
    </row>
    <row r="57" spans="1:18" ht="14.25" hidden="1">
      <c r="A57" s="3" t="s">
        <v>74</v>
      </c>
      <c r="B57" s="7">
        <f>B62*B56/B33</f>
        <v>360</v>
      </c>
      <c r="C57" s="7">
        <f aca="true" t="shared" si="26" ref="C57:M57">C62*C56/C33</f>
        <v>280</v>
      </c>
      <c r="D57" s="7">
        <f t="shared" si="26"/>
        <v>239.99999999999997</v>
      </c>
      <c r="E57" s="7">
        <f t="shared" si="26"/>
        <v>200.00000000000003</v>
      </c>
      <c r="F57" s="7">
        <f t="shared" si="26"/>
        <v>200</v>
      </c>
      <c r="G57" s="7">
        <f t="shared" si="26"/>
        <v>160</v>
      </c>
      <c r="H57" s="7">
        <f t="shared" si="26"/>
        <v>400</v>
      </c>
      <c r="I57" s="7">
        <f t="shared" si="26"/>
        <v>440</v>
      </c>
      <c r="J57" s="7">
        <f t="shared" si="26"/>
        <v>480</v>
      </c>
      <c r="K57" s="7">
        <f t="shared" si="26"/>
        <v>520</v>
      </c>
      <c r="L57" s="7">
        <f t="shared" si="26"/>
        <v>520</v>
      </c>
      <c r="M57" s="7">
        <f t="shared" si="26"/>
        <v>560</v>
      </c>
      <c r="N57" s="4" t="str">
        <f t="shared" si="0"/>
        <v>Area per person m^2</v>
      </c>
      <c r="O57" s="7">
        <f>O62*O56/O33</f>
        <v>160</v>
      </c>
      <c r="Q57" s="4"/>
      <c r="R57" s="4"/>
    </row>
    <row r="58" spans="1:18" ht="14.25" hidden="1">
      <c r="A58" s="3" t="s">
        <v>73</v>
      </c>
      <c r="B58" s="4">
        <f>3.14159*B35</f>
        <v>5394.484614486592</v>
      </c>
      <c r="C58" s="4">
        <f aca="true" t="shared" si="27" ref="C58:M58">3.14159*C35</f>
        <v>1229.2407336216481</v>
      </c>
      <c r="D58" s="4">
        <f t="shared" si="27"/>
        <v>473.72357938739907</v>
      </c>
      <c r="E58" s="4">
        <f t="shared" si="27"/>
        <v>225.62884340541203</v>
      </c>
      <c r="F58" s="4">
        <f t="shared" si="27"/>
        <v>99.16356377946366</v>
      </c>
      <c r="G58" s="4">
        <f t="shared" si="27"/>
        <v>55.59909484684977</v>
      </c>
      <c r="H58" s="4">
        <f t="shared" si="27"/>
        <v>9740.991190198385</v>
      </c>
      <c r="I58" s="4">
        <f t="shared" si="27"/>
        <v>22206.25645794637</v>
      </c>
      <c r="J58" s="4">
        <f t="shared" si="27"/>
        <v>34827.65170054118</v>
      </c>
      <c r="K58" s="4">
        <f t="shared" si="27"/>
        <v>62125.26457873991</v>
      </c>
      <c r="L58" s="4">
        <f t="shared" si="27"/>
        <v>89604.14015178547</v>
      </c>
      <c r="M58" s="4">
        <f t="shared" si="27"/>
        <v>140165.11928216473</v>
      </c>
      <c r="N58" s="4" t="str">
        <f t="shared" si="0"/>
        <v>Park Circumference m</v>
      </c>
      <c r="O58" s="4">
        <f>3.14159*O35</f>
        <v>87.10789295378002</v>
      </c>
      <c r="Q58" s="17"/>
      <c r="R58" s="17"/>
    </row>
    <row r="59" spans="1:18" ht="14.25" hidden="1">
      <c r="A59" s="3" t="s">
        <v>64</v>
      </c>
      <c r="B59" s="8">
        <f>(3.14159*B31^2)*B32</f>
        <v>2248937430.8636746</v>
      </c>
      <c r="C59" s="8">
        <f aca="true" t="shared" si="28" ref="C59:M59">(3.14159*C31^2)*C32</f>
        <v>35139647.357244916</v>
      </c>
      <c r="D59" s="8">
        <f t="shared" si="28"/>
        <v>3084962.182254697</v>
      </c>
      <c r="E59" s="8">
        <f t="shared" si="28"/>
        <v>549056.9899569518</v>
      </c>
      <c r="F59" s="8">
        <f t="shared" si="28"/>
        <v>143931.9955752751</v>
      </c>
      <c r="G59" s="8">
        <f t="shared" si="28"/>
        <v>48202.534097729644</v>
      </c>
      <c r="H59" s="8">
        <f t="shared" si="28"/>
        <v>12636005098.51524</v>
      </c>
      <c r="I59" s="8">
        <f t="shared" si="28"/>
        <v>143931995575.27518</v>
      </c>
      <c r="J59" s="8">
        <f t="shared" si="28"/>
        <v>549056989956.9508</v>
      </c>
      <c r="K59" s="8">
        <f t="shared" si="28"/>
        <v>3084962182254.697</v>
      </c>
      <c r="L59" s="8">
        <f t="shared" si="28"/>
        <v>9211647716817.611</v>
      </c>
      <c r="M59" s="8">
        <f t="shared" si="28"/>
        <v>35139647357244.85</v>
      </c>
      <c r="N59" s="4" t="str">
        <f t="shared" si="0"/>
        <v>Volume m^3</v>
      </c>
      <c r="O59" s="8">
        <f>(3.14159*O31^2)*O32</f>
        <v>83671.73105695193</v>
      </c>
      <c r="Q59" s="17"/>
      <c r="R59" s="17"/>
    </row>
    <row r="60" spans="1:15" ht="14.25" hidden="1">
      <c r="A60" s="3" t="s">
        <v>34</v>
      </c>
      <c r="B60" s="18">
        <f>B59/B33</f>
        <v>17900.251893269404</v>
      </c>
      <c r="C60" s="18">
        <f aca="true" t="shared" si="29" ref="C60:M60">C59/C33</f>
        <v>4475.062973317351</v>
      </c>
      <c r="D60" s="18">
        <f t="shared" si="29"/>
        <v>1988.9168770299332</v>
      </c>
      <c r="E60" s="18">
        <f t="shared" si="29"/>
        <v>1118.7657433293377</v>
      </c>
      <c r="F60" s="18">
        <f t="shared" si="29"/>
        <v>716.0100757307758</v>
      </c>
      <c r="G60" s="18">
        <f t="shared" si="29"/>
        <v>497.2292192574833</v>
      </c>
      <c r="H60" s="18">
        <f t="shared" si="29"/>
        <v>31822.67003247893</v>
      </c>
      <c r="I60" s="18">
        <f t="shared" si="29"/>
        <v>71601.00757307762</v>
      </c>
      <c r="J60" s="18">
        <f t="shared" si="29"/>
        <v>111876.57433293371</v>
      </c>
      <c r="K60" s="18">
        <f t="shared" si="29"/>
        <v>198891.68770299328</v>
      </c>
      <c r="L60" s="18">
        <f t="shared" si="29"/>
        <v>286404.03029231046</v>
      </c>
      <c r="M60" s="18">
        <f t="shared" si="29"/>
        <v>447506.29733173485</v>
      </c>
      <c r="N60" s="4" t="str">
        <f t="shared" si="0"/>
        <v>volume per person (m^3, min 64 food, 30 living, 10 work, 10 common/rec, 120 total)</v>
      </c>
      <c r="O60" s="18">
        <f>O59/O33</f>
        <v>597.5757100438854</v>
      </c>
    </row>
    <row r="61" spans="1:15" ht="14.25" hidden="1">
      <c r="A61" s="3" t="s">
        <v>70</v>
      </c>
      <c r="B61" s="8">
        <f>2*3.14*B31^2</f>
        <v>5025487.784804388</v>
      </c>
      <c r="C61" s="8">
        <f>2*3.14*C31^2</f>
        <v>314092.98655027425</v>
      </c>
      <c r="D61" s="8">
        <f aca="true" t="shared" si="30" ref="D61:O61">2*3.14*D31^2</f>
        <v>62043.059071659096</v>
      </c>
      <c r="E61" s="8">
        <f t="shared" si="30"/>
        <v>19630.81165939214</v>
      </c>
      <c r="F61" s="8">
        <f t="shared" si="30"/>
        <v>8040.780455687017</v>
      </c>
      <c r="G61" s="8">
        <f t="shared" si="30"/>
        <v>3877.6911919786935</v>
      </c>
      <c r="H61" s="8">
        <f t="shared" si="30"/>
        <v>15883023.122344729</v>
      </c>
      <c r="I61" s="8">
        <f t="shared" si="30"/>
        <v>80407804.5568702</v>
      </c>
      <c r="J61" s="8">
        <f t="shared" si="30"/>
        <v>196308116.59392115</v>
      </c>
      <c r="K61" s="8">
        <f t="shared" si="30"/>
        <v>620430590.7165909</v>
      </c>
      <c r="L61" s="8">
        <f t="shared" si="30"/>
        <v>1286524872.9099233</v>
      </c>
      <c r="M61" s="8">
        <f t="shared" si="30"/>
        <v>3140929865.5027385</v>
      </c>
      <c r="N61" s="4" t="str">
        <f t="shared" si="0"/>
        <v>End cap area m^2</v>
      </c>
      <c r="O61" s="8">
        <f t="shared" si="30"/>
        <v>5600.745120701587</v>
      </c>
    </row>
    <row r="62" spans="1:15" ht="14.25" hidden="1">
      <c r="A62" s="3" t="s">
        <v>71</v>
      </c>
      <c r="B62" s="8">
        <f>3.14*2*B31*B32</f>
        <v>5025487.784804387</v>
      </c>
      <c r="C62" s="8">
        <f>3.14*2*C31*C32</f>
        <v>314092.9865502742</v>
      </c>
      <c r="D62" s="8">
        <f aca="true" t="shared" si="31" ref="D62:M62">3.14*2*D31*D32</f>
        <v>62043.059071659096</v>
      </c>
      <c r="E62" s="8">
        <f t="shared" si="31"/>
        <v>19630.811659392137</v>
      </c>
      <c r="F62" s="8">
        <f t="shared" si="31"/>
        <v>8040.780455687018</v>
      </c>
      <c r="G62" s="8">
        <f t="shared" si="31"/>
        <v>3877.6911919786935</v>
      </c>
      <c r="H62" s="8">
        <f t="shared" si="31"/>
        <v>15883023.122344729</v>
      </c>
      <c r="I62" s="8">
        <f t="shared" si="31"/>
        <v>80407804.55687019</v>
      </c>
      <c r="J62" s="8">
        <f t="shared" si="31"/>
        <v>196308116.59392112</v>
      </c>
      <c r="K62" s="8">
        <f t="shared" si="31"/>
        <v>620430590.716591</v>
      </c>
      <c r="L62" s="8">
        <f t="shared" si="31"/>
        <v>1286524872.909923</v>
      </c>
      <c r="M62" s="8">
        <f t="shared" si="31"/>
        <v>3140929865.502738</v>
      </c>
      <c r="N62" s="4" t="str">
        <f t="shared" si="0"/>
        <v>Cylinder area m^2</v>
      </c>
      <c r="O62" s="8">
        <f>3.14*2*O31*O32</f>
        <v>5600.7451207015865</v>
      </c>
    </row>
    <row r="63" spans="1:15" ht="15">
      <c r="A63" s="3" t="s">
        <v>72</v>
      </c>
      <c r="B63" s="5">
        <f>SIN($A20*3.14159/180)*3.14159*MAX(B31,B47)^2+COS($A20*3.14159/180)*2*B31*B32</f>
        <v>2977355.528343907</v>
      </c>
      <c r="C63" s="5">
        <f aca="true" t="shared" si="32" ref="C63:M63">SIN($A20*3.14159/180)*3.14159*MAX(C31,C47)^2+COS($A20*3.14159/180)*2*C31*C32</f>
        <v>186084.7205214942</v>
      </c>
      <c r="D63" s="5">
        <f t="shared" si="32"/>
        <v>36757.47565856675</v>
      </c>
      <c r="E63" s="5">
        <f t="shared" si="32"/>
        <v>11630.295032593387</v>
      </c>
      <c r="F63" s="5">
        <f t="shared" si="32"/>
        <v>4763.76884535025</v>
      </c>
      <c r="G63" s="5">
        <f t="shared" si="32"/>
        <v>2297.342228660422</v>
      </c>
      <c r="H63" s="5">
        <f t="shared" si="32"/>
        <v>9409913.768593088</v>
      </c>
      <c r="I63" s="5">
        <f t="shared" si="32"/>
        <v>47637688.45350251</v>
      </c>
      <c r="J63" s="5">
        <f t="shared" si="32"/>
        <v>116302950.32593372</v>
      </c>
      <c r="K63" s="5">
        <f t="shared" si="32"/>
        <v>367574756.5856675</v>
      </c>
      <c r="L63" s="5">
        <f t="shared" si="32"/>
        <v>762203015.2560402</v>
      </c>
      <c r="M63" s="5">
        <f t="shared" si="32"/>
        <v>1860847205.2149396</v>
      </c>
      <c r="N63" s="4" t="str">
        <f t="shared" si="0"/>
        <v>Drag cross section m^2</v>
      </c>
      <c r="O63" s="5">
        <f>SIN($A20*3.14159/180)*3.14159*MAX(O31,O47)^2+COS($A20*3.14159/180)*2*O31*O32</f>
        <v>3318.1673425587896</v>
      </c>
    </row>
    <row r="64" spans="1:15" ht="15">
      <c r="A64" s="3" t="s">
        <v>62</v>
      </c>
      <c r="B64" s="26">
        <f>1000*B43/B63</f>
        <v>2.221458723791044</v>
      </c>
      <c r="C64" s="26">
        <f aca="true" t="shared" si="33" ref="C64:M64">1000*C43/C63</f>
        <v>1.029479421426474</v>
      </c>
      <c r="D64" s="26">
        <f t="shared" si="33"/>
        <v>0.8091430682247466</v>
      </c>
      <c r="E64" s="26">
        <f t="shared" si="33"/>
        <v>0.7320547851128983</v>
      </c>
      <c r="F64" s="26">
        <f t="shared" si="33"/>
        <v>0.6963790855603759</v>
      </c>
      <c r="G64" s="26">
        <f t="shared" si="33"/>
        <v>0.680084666495699</v>
      </c>
      <c r="H64" s="26">
        <f t="shared" si="33"/>
        <v>3.4614715185150224</v>
      </c>
      <c r="I64" s="26">
        <f t="shared" si="33"/>
        <v>7.02656357660559</v>
      </c>
      <c r="J64" s="26">
        <f t="shared" si="33"/>
        <v>10.670585786984622</v>
      </c>
      <c r="K64" s="26">
        <f t="shared" si="33"/>
        <v>18.667057112503485</v>
      </c>
      <c r="L64" s="26">
        <f t="shared" si="33"/>
        <v>26.89014504323278</v>
      </c>
      <c r="M64" s="26">
        <f t="shared" si="33"/>
        <v>42.550483080213766</v>
      </c>
      <c r="N64" s="4" t="str">
        <f t="shared" si="0"/>
        <v>Drag Mass/m^2 (tonnes)</v>
      </c>
      <c r="O64" s="26">
        <f>1000*O43/O63</f>
        <v>0.6858889077304812</v>
      </c>
    </row>
    <row r="65" spans="1:15" ht="15">
      <c r="A65" s="3" t="s">
        <v>81</v>
      </c>
      <c r="B65" s="8">
        <f aca="true" t="shared" si="34" ref="B65:M65">FLOOR(1+B43*1000/$A$24,1)</f>
        <v>124794</v>
      </c>
      <c r="C65" s="8">
        <f t="shared" si="34"/>
        <v>3615</v>
      </c>
      <c r="D65" s="8">
        <f t="shared" si="34"/>
        <v>562</v>
      </c>
      <c r="E65" s="8">
        <f t="shared" si="34"/>
        <v>161</v>
      </c>
      <c r="F65" s="8">
        <f t="shared" si="34"/>
        <v>63</v>
      </c>
      <c r="G65" s="8">
        <f t="shared" si="34"/>
        <v>30</v>
      </c>
      <c r="H65" s="8">
        <f t="shared" si="34"/>
        <v>614569</v>
      </c>
      <c r="I65" s="8">
        <f t="shared" si="34"/>
        <v>6315647</v>
      </c>
      <c r="J65" s="8">
        <f t="shared" si="34"/>
        <v>23415484</v>
      </c>
      <c r="K65" s="8">
        <f t="shared" si="34"/>
        <v>129463000</v>
      </c>
      <c r="L65" s="8">
        <f t="shared" si="34"/>
        <v>386712258</v>
      </c>
      <c r="M65" s="8">
        <f t="shared" si="34"/>
        <v>1493961274</v>
      </c>
      <c r="N65" s="4" t="str">
        <f t="shared" si="0"/>
        <v>Required Launches</v>
      </c>
      <c r="O65" s="8">
        <f>FLOOR(1+O43*1000/$A$24,1)</f>
        <v>43</v>
      </c>
    </row>
    <row r="66" spans="1:15" ht="14.25" hidden="1">
      <c r="A66" s="3" t="s">
        <v>112</v>
      </c>
      <c r="B66" s="29">
        <f aca="true" t="shared" si="35" ref="B66:M66">B65*$A$25/1000</f>
        <v>11231.46</v>
      </c>
      <c r="C66" s="29">
        <f t="shared" si="35"/>
        <v>325.35</v>
      </c>
      <c r="D66" s="29">
        <f t="shared" si="35"/>
        <v>50.58</v>
      </c>
      <c r="E66" s="29">
        <f t="shared" si="35"/>
        <v>14.49</v>
      </c>
      <c r="F66" s="29">
        <f t="shared" si="35"/>
        <v>5.67</v>
      </c>
      <c r="G66" s="29">
        <f t="shared" si="35"/>
        <v>2.7</v>
      </c>
      <c r="H66" s="29">
        <f t="shared" si="35"/>
        <v>55311.21</v>
      </c>
      <c r="I66" s="29">
        <f t="shared" si="35"/>
        <v>568408.23</v>
      </c>
      <c r="J66" s="29">
        <f t="shared" si="35"/>
        <v>2107393.56</v>
      </c>
      <c r="K66" s="29">
        <f t="shared" si="35"/>
        <v>11651670</v>
      </c>
      <c r="L66" s="29">
        <f t="shared" si="35"/>
        <v>34804103.22</v>
      </c>
      <c r="M66" s="29">
        <f t="shared" si="35"/>
        <v>134456514.66</v>
      </c>
      <c r="N66" s="4" t="str">
        <f t="shared" si="0"/>
        <v>Total launch cost $B</v>
      </c>
      <c r="O66" s="29">
        <f>O65*$A$25/1000</f>
        <v>3.87</v>
      </c>
    </row>
    <row r="67" spans="1:15" ht="14.25" hidden="1">
      <c r="A67" s="3" t="s">
        <v>113</v>
      </c>
      <c r="B67" s="30">
        <f>B43*$A$26/1000</f>
        <v>11231.443718944072</v>
      </c>
      <c r="C67" s="30">
        <f aca="true" t="shared" si="36" ref="C67:M67">C43*$A$26/1000</f>
        <v>325.30821014508956</v>
      </c>
      <c r="D67" s="30">
        <f t="shared" si="36"/>
        <v>50.50537919077779</v>
      </c>
      <c r="E67" s="30">
        <f t="shared" si="36"/>
        <v>14.457758146785443</v>
      </c>
      <c r="F67" s="30">
        <f t="shared" si="36"/>
        <v>5.633302062474364</v>
      </c>
      <c r="G67" s="30">
        <f t="shared" si="36"/>
        <v>2.6531103793669963</v>
      </c>
      <c r="H67" s="30">
        <f t="shared" si="36"/>
        <v>55311.19556886906</v>
      </c>
      <c r="I67" s="30">
        <f t="shared" si="36"/>
        <v>568408.1545376583</v>
      </c>
      <c r="J67" s="30">
        <f t="shared" si="36"/>
        <v>2107393.4865265246</v>
      </c>
      <c r="K67" s="30">
        <f t="shared" si="36"/>
        <v>11651669.95635717</v>
      </c>
      <c r="L67" s="30">
        <f t="shared" si="36"/>
        <v>34804103.14973936</v>
      </c>
      <c r="M67" s="30">
        <f t="shared" si="36"/>
        <v>134456514.6572174</v>
      </c>
      <c r="N67" s="4" t="str">
        <f t="shared" si="0"/>
        <v>Materials cost $B</v>
      </c>
      <c r="O67" s="30">
        <f>O43*$A$26/1000</f>
        <v>3.864725956281399</v>
      </c>
    </row>
    <row r="68" spans="1:15" ht="14.25" hidden="1">
      <c r="A68" s="3" t="s">
        <v>114</v>
      </c>
      <c r="B68" s="30">
        <f aca="true" t="shared" si="37" ref="B68:M68">B67*$A$27</f>
        <v>11231.443718944072</v>
      </c>
      <c r="C68" s="30">
        <f t="shared" si="37"/>
        <v>325.30821014508956</v>
      </c>
      <c r="D68" s="30">
        <f t="shared" si="37"/>
        <v>50.50537919077779</v>
      </c>
      <c r="E68" s="30">
        <f t="shared" si="37"/>
        <v>14.457758146785443</v>
      </c>
      <c r="F68" s="30">
        <f t="shared" si="37"/>
        <v>5.633302062474364</v>
      </c>
      <c r="G68" s="30">
        <f t="shared" si="37"/>
        <v>2.6531103793669963</v>
      </c>
      <c r="H68" s="30">
        <f t="shared" si="37"/>
        <v>55311.19556886906</v>
      </c>
      <c r="I68" s="30">
        <f t="shared" si="37"/>
        <v>568408.1545376583</v>
      </c>
      <c r="J68" s="30">
        <f t="shared" si="37"/>
        <v>2107393.4865265246</v>
      </c>
      <c r="K68" s="30">
        <f t="shared" si="37"/>
        <v>11651669.95635717</v>
      </c>
      <c r="L68" s="30">
        <f t="shared" si="37"/>
        <v>34804103.14973936</v>
      </c>
      <c r="M68" s="30">
        <f t="shared" si="37"/>
        <v>134456514.6572174</v>
      </c>
      <c r="N68" s="4" t="str">
        <f t="shared" si="0"/>
        <v>Engineering cost $B</v>
      </c>
      <c r="O68" s="30">
        <f>O67*$A$27</f>
        <v>3.864725956281399</v>
      </c>
    </row>
    <row r="69" spans="1:15" ht="14.25" hidden="1">
      <c r="A69" s="3" t="s">
        <v>115</v>
      </c>
      <c r="B69" s="30">
        <f>B66+B67+B68</f>
        <v>33694.347437888144</v>
      </c>
      <c r="C69" s="30">
        <f aca="true" t="shared" si="38" ref="C69:H69">C66+C67+C68</f>
        <v>975.9664202901791</v>
      </c>
      <c r="D69" s="30">
        <f t="shared" si="38"/>
        <v>151.5907583815556</v>
      </c>
      <c r="E69" s="30">
        <f t="shared" si="38"/>
        <v>43.405516293570884</v>
      </c>
      <c r="F69" s="30">
        <f t="shared" si="38"/>
        <v>16.93660412494873</v>
      </c>
      <c r="G69" s="30">
        <f t="shared" si="38"/>
        <v>8.006220758733992</v>
      </c>
      <c r="H69" s="30">
        <f t="shared" si="38"/>
        <v>165933.60113773812</v>
      </c>
      <c r="I69" s="30">
        <f>I66+I67+I68</f>
        <v>1705224.5390753164</v>
      </c>
      <c r="J69" s="30">
        <f>J66+J67+J68</f>
        <v>6322180.53305305</v>
      </c>
      <c r="K69" s="30">
        <f>K66+K67+K68</f>
        <v>34955009.91271434</v>
      </c>
      <c r="L69" s="30">
        <f>L66+L67+L68</f>
        <v>104412309.51947871</v>
      </c>
      <c r="M69" s="30">
        <f>M66+M67+M68</f>
        <v>403369543.97443485</v>
      </c>
      <c r="N69" s="4" t="str">
        <f t="shared" si="0"/>
        <v>TOTAL COST $B</v>
      </c>
      <c r="O69" s="30">
        <f>O66+O67+O68</f>
        <v>11.599451912562799</v>
      </c>
    </row>
    <row r="70" spans="1:15" ht="14.25" hidden="1">
      <c r="A70" s="3" t="s">
        <v>116</v>
      </c>
      <c r="B70" s="36">
        <f aca="true" t="shared" si="39" ref="B70:H70">B69/B33</f>
        <v>0.2681876775406363</v>
      </c>
      <c r="C70" s="36">
        <f t="shared" si="39"/>
        <v>0.12429012580119672</v>
      </c>
      <c r="D70" s="36">
        <f t="shared" si="39"/>
        <v>0.09773261386513506</v>
      </c>
      <c r="E70" s="36">
        <f t="shared" si="39"/>
        <v>0.08844365082134342</v>
      </c>
      <c r="F70" s="36">
        <f t="shared" si="39"/>
        <v>0.08425353343888377</v>
      </c>
      <c r="G70" s="36">
        <f t="shared" si="39"/>
        <v>0.08258750232917447</v>
      </c>
      <c r="H70" s="36">
        <f t="shared" si="39"/>
        <v>0.4178892138091711</v>
      </c>
      <c r="I70" s="36">
        <f>I69/I33</f>
        <v>0.848288072767493</v>
      </c>
      <c r="J70" s="36">
        <f>J69/J33</f>
        <v>1.2882158196506934</v>
      </c>
      <c r="K70" s="36">
        <f>K69/K33</f>
        <v>2.253596804267285</v>
      </c>
      <c r="L70" s="36">
        <f>L69/L33</f>
        <v>3.2463362883397346</v>
      </c>
      <c r="M70" s="36">
        <f>M69/M33</f>
        <v>5.136944296715412</v>
      </c>
      <c r="N70" s="4" t="str">
        <f t="shared" si="0"/>
        <v>Cost per resident $B</v>
      </c>
      <c r="O70" s="36">
        <f>O69/O33</f>
        <v>0.0828422051893679</v>
      </c>
    </row>
    <row r="71" ht="15">
      <c r="A71" s="3"/>
    </row>
    <row r="72" spans="2:8" ht="15">
      <c r="B72" s="30"/>
      <c r="C72" s="30"/>
      <c r="D72" s="30"/>
      <c r="E72" s="30"/>
      <c r="F72" s="30"/>
      <c r="G72" s="30"/>
      <c r="H72" s="30"/>
    </row>
    <row r="73" spans="2:8" ht="15">
      <c r="B73" s="31"/>
      <c r="C73" s="31"/>
      <c r="D73" s="31"/>
      <c r="E73" s="31"/>
      <c r="F73" s="31"/>
      <c r="G73" s="31"/>
      <c r="H73" s="31"/>
    </row>
  </sheetData>
  <sheetProtection/>
  <printOptions/>
  <pageMargins left="0.7" right="0.7" top="0.75" bottom="0.75" header="0.3" footer="0.3"/>
  <pageSetup horizontalDpi="600" verticalDpi="600" orientation="portrait"/>
  <legacyDrawing r:id="rId2"/>
</worksheet>
</file>

<file path=xl/worksheets/sheet2.xml><?xml version="1.0" encoding="utf-8"?>
<worksheet xmlns="http://schemas.openxmlformats.org/spreadsheetml/2006/main" xmlns:r="http://schemas.openxmlformats.org/officeDocument/2006/relationships">
  <dimension ref="A1:I53"/>
  <sheetViews>
    <sheetView zoomScalePageLayoutView="0" workbookViewId="0" topLeftCell="A1">
      <selection activeCell="A17" sqref="A17"/>
    </sheetView>
  </sheetViews>
  <sheetFormatPr defaultColWidth="8.7109375" defaultRowHeight="15"/>
  <cols>
    <col min="1" max="1" width="23.7109375" style="0" customWidth="1"/>
    <col min="2" max="2" width="11.421875" style="0" customWidth="1"/>
    <col min="3" max="3" width="9.7109375" style="0" customWidth="1"/>
    <col min="4" max="4" width="9.7109375" style="0" bestFit="1" customWidth="1"/>
    <col min="5" max="6" width="10.7109375" style="0" bestFit="1" customWidth="1"/>
    <col min="7" max="7" width="11.7109375" style="0" customWidth="1"/>
  </cols>
  <sheetData>
    <row r="1" ht="15">
      <c r="A1" s="1" t="s">
        <v>0</v>
      </c>
    </row>
    <row r="2" ht="15">
      <c r="A2" s="1" t="s">
        <v>42</v>
      </c>
    </row>
    <row r="3" ht="15">
      <c r="A3" s="37" t="s">
        <v>129</v>
      </c>
    </row>
    <row r="4" spans="1:2" ht="15">
      <c r="A4" s="20">
        <v>0</v>
      </c>
      <c r="B4" t="s">
        <v>53</v>
      </c>
    </row>
    <row r="5" spans="1:2" ht="14.25" hidden="1">
      <c r="A5">
        <f>A4/2.5</f>
        <v>0</v>
      </c>
      <c r="B5" t="s">
        <v>54</v>
      </c>
    </row>
    <row r="6" spans="1:2" ht="15">
      <c r="A6" s="20">
        <v>40</v>
      </c>
      <c r="B6" t="s">
        <v>88</v>
      </c>
    </row>
    <row r="7" spans="1:2" ht="15">
      <c r="A7" s="20">
        <v>2400</v>
      </c>
      <c r="B7" t="s">
        <v>55</v>
      </c>
    </row>
    <row r="8" spans="1:2" ht="15">
      <c r="A8" s="20">
        <v>1.3</v>
      </c>
      <c r="B8" t="s">
        <v>56</v>
      </c>
    </row>
    <row r="9" spans="1:2" ht="14.25" hidden="1">
      <c r="A9" s="38">
        <f>(1+A13)*(10+A4+A11+A10/A6)</f>
        <v>41.5</v>
      </c>
      <c r="B9" t="s">
        <v>57</v>
      </c>
    </row>
    <row r="10" spans="1:2" ht="15">
      <c r="A10" s="20">
        <v>7</v>
      </c>
      <c r="B10" t="s">
        <v>58</v>
      </c>
    </row>
    <row r="11" spans="1:2" ht="15">
      <c r="A11" s="20">
        <v>0.2</v>
      </c>
      <c r="B11" t="s">
        <v>89</v>
      </c>
    </row>
    <row r="12" spans="1:2" ht="14.25" hidden="1">
      <c r="A12" s="23">
        <v>0.28</v>
      </c>
      <c r="B12" t="s">
        <v>41</v>
      </c>
    </row>
    <row r="13" spans="1:2" ht="15">
      <c r="A13" s="23">
        <v>3</v>
      </c>
      <c r="B13" t="s">
        <v>90</v>
      </c>
    </row>
    <row r="14" spans="1:2" ht="14.25" hidden="1">
      <c r="A14">
        <v>0.005</v>
      </c>
      <c r="B14" t="s">
        <v>91</v>
      </c>
    </row>
    <row r="15" spans="1:2" ht="14.25" hidden="1">
      <c r="A15" s="3">
        <v>55</v>
      </c>
      <c r="B15" t="s">
        <v>92</v>
      </c>
    </row>
    <row r="16" spans="1:2" ht="14.25" hidden="1">
      <c r="A16">
        <v>6</v>
      </c>
      <c r="B16" t="s">
        <v>95</v>
      </c>
    </row>
    <row r="17" spans="1:2" ht="15">
      <c r="A17" s="20">
        <v>53</v>
      </c>
      <c r="B17" t="s">
        <v>99</v>
      </c>
    </row>
    <row r="18" spans="1:5" ht="14.25" hidden="1">
      <c r="A18">
        <v>90</v>
      </c>
      <c r="B18" t="s">
        <v>100</v>
      </c>
      <c r="D18" s="28">
        <f>A18/A17</f>
        <v>1.6981132075471699</v>
      </c>
      <c r="E18" t="s">
        <v>101</v>
      </c>
    </row>
    <row r="19" spans="1:4" ht="14.25" hidden="1">
      <c r="A19" s="34">
        <f>1000*D18</f>
        <v>1698.1132075471698</v>
      </c>
      <c r="B19" t="s">
        <v>121</v>
      </c>
      <c r="D19" s="28"/>
    </row>
    <row r="20" spans="1:4" ht="14.25" hidden="1">
      <c r="A20" s="2">
        <v>1</v>
      </c>
      <c r="B20" t="s">
        <v>87</v>
      </c>
      <c r="D20" s="28"/>
    </row>
    <row r="22" ht="15">
      <c r="A22" s="9" t="s">
        <v>42</v>
      </c>
    </row>
    <row r="23" spans="1:7" ht="15">
      <c r="A23" s="3" t="s">
        <v>16</v>
      </c>
      <c r="B23" s="39">
        <v>1</v>
      </c>
      <c r="C23" s="39">
        <v>2</v>
      </c>
      <c r="D23" s="39">
        <v>3</v>
      </c>
      <c r="E23" s="39">
        <v>4</v>
      </c>
      <c r="F23" s="39">
        <v>5</v>
      </c>
      <c r="G23" s="39">
        <v>6</v>
      </c>
    </row>
    <row r="24" spans="1:7" ht="15">
      <c r="A24" s="3" t="s">
        <v>103</v>
      </c>
      <c r="B24" s="5">
        <f aca="true" t="shared" si="0" ref="B24:G24">1/((3.14*B23/30)^2/9.8)</f>
        <v>894.559617023003</v>
      </c>
      <c r="C24" s="5">
        <f t="shared" si="0"/>
        <v>223.63990425575076</v>
      </c>
      <c r="D24" s="5">
        <f t="shared" si="0"/>
        <v>99.39551300255589</v>
      </c>
      <c r="E24" s="5">
        <f t="shared" si="0"/>
        <v>55.90997606393769</v>
      </c>
      <c r="F24" s="5">
        <f t="shared" si="0"/>
        <v>35.78238468092012</v>
      </c>
      <c r="G24" s="5">
        <f t="shared" si="0"/>
        <v>24.848878250638972</v>
      </c>
    </row>
    <row r="25" spans="1:7" ht="14.25" hidden="1">
      <c r="A25" s="3" t="s">
        <v>104</v>
      </c>
      <c r="B25" s="8">
        <f aca="true" t="shared" si="1" ref="B25:G25">2*3.14*B24</f>
        <v>5617.834394904459</v>
      </c>
      <c r="C25" s="8">
        <f t="shared" si="1"/>
        <v>1404.4585987261148</v>
      </c>
      <c r="D25" s="8">
        <f t="shared" si="1"/>
        <v>624.203821656051</v>
      </c>
      <c r="E25" s="8">
        <f t="shared" si="1"/>
        <v>351.1146496815287</v>
      </c>
      <c r="F25" s="8">
        <f t="shared" si="1"/>
        <v>224.71337579617835</v>
      </c>
      <c r="G25" s="8">
        <f t="shared" si="1"/>
        <v>156.05095541401275</v>
      </c>
    </row>
    <row r="26" spans="1:7" ht="15">
      <c r="A26" s="3" t="s">
        <v>43</v>
      </c>
      <c r="B26" s="40">
        <v>6.9</v>
      </c>
      <c r="C26" s="40">
        <v>6</v>
      </c>
      <c r="D26" s="40">
        <v>5</v>
      </c>
      <c r="E26" s="40">
        <v>4</v>
      </c>
      <c r="F26" s="40">
        <v>3</v>
      </c>
      <c r="G26" s="40">
        <v>2</v>
      </c>
    </row>
    <row r="27" spans="1:7" ht="15">
      <c r="A27" s="3" t="s">
        <v>105</v>
      </c>
      <c r="B27" s="16">
        <f aca="true" t="shared" si="2" ref="B27:G27">B24/B26</f>
        <v>129.6463213076816</v>
      </c>
      <c r="C27" s="16">
        <f t="shared" si="2"/>
        <v>37.27331737595846</v>
      </c>
      <c r="D27" s="16">
        <f t="shared" si="2"/>
        <v>19.879102600511178</v>
      </c>
      <c r="E27" s="16">
        <f t="shared" si="2"/>
        <v>13.977494015984423</v>
      </c>
      <c r="F27" s="16">
        <f t="shared" si="2"/>
        <v>11.927461560306705</v>
      </c>
      <c r="G27" s="16">
        <f t="shared" si="2"/>
        <v>12.424439125319486</v>
      </c>
    </row>
    <row r="28" spans="1:7" ht="14.25" hidden="1">
      <c r="A28" s="3" t="s">
        <v>106</v>
      </c>
      <c r="B28" s="5">
        <f>3.14159^2*(B24^2-(B24-B27)^2)</f>
        <v>2123388.09380877</v>
      </c>
      <c r="C28" s="5">
        <f>3.14159^2*(C24^2-(C24-C27)^2)</f>
        <v>150830.02097013235</v>
      </c>
      <c r="D28" s="5">
        <f>3.14159^2*(D24^2-(D24-D27)^2)</f>
        <v>35102.25942577624</v>
      </c>
      <c r="E28" s="5">
        <f>3.14159^2*(E24^2-(E24-E27)^2)</f>
        <v>13497.572899315814</v>
      </c>
      <c r="F28" s="5">
        <f>3.14159^2*(F24^2-(F24-F27)^2)</f>
        <v>7020.451885155245</v>
      </c>
      <c r="G28" s="5">
        <f>3.14159^2*(G24^2-(G24-G27)^2)</f>
        <v>4570.606696064614</v>
      </c>
    </row>
    <row r="29" spans="1:7" ht="15">
      <c r="A29" s="3" t="s">
        <v>44</v>
      </c>
      <c r="B29" s="5">
        <f aca="true" t="shared" si="3" ref="B29:G29">B28*$A$4/1000</f>
        <v>0</v>
      </c>
      <c r="C29" s="5">
        <f t="shared" si="3"/>
        <v>0</v>
      </c>
      <c r="D29" s="5">
        <f t="shared" si="3"/>
        <v>0</v>
      </c>
      <c r="E29" s="5">
        <f t="shared" si="3"/>
        <v>0</v>
      </c>
      <c r="F29" s="5">
        <f t="shared" si="3"/>
        <v>0</v>
      </c>
      <c r="G29" s="5">
        <f t="shared" si="3"/>
        <v>0</v>
      </c>
    </row>
    <row r="30" spans="1:9" ht="14.25" hidden="1">
      <c r="A30" s="3" t="s">
        <v>107</v>
      </c>
      <c r="B30" s="5">
        <f aca="true" t="shared" si="4" ref="B30:G30">B25*B27</f>
        <v>728331.5630151286</v>
      </c>
      <c r="C30" s="5">
        <f t="shared" si="4"/>
        <v>52348.83109171237</v>
      </c>
      <c r="D30" s="5">
        <f t="shared" si="4"/>
        <v>12408.611814331818</v>
      </c>
      <c r="E30" s="5">
        <f t="shared" si="4"/>
        <v>4907.702914848034</v>
      </c>
      <c r="F30" s="5">
        <f t="shared" si="4"/>
        <v>2680.2601518956726</v>
      </c>
      <c r="G30" s="5">
        <f t="shared" si="4"/>
        <v>1938.8455959893467</v>
      </c>
      <c r="H30" s="9"/>
      <c r="I30" s="9"/>
    </row>
    <row r="31" spans="1:9" ht="15">
      <c r="A31" s="3" t="s">
        <v>45</v>
      </c>
      <c r="B31" s="5">
        <f aca="true" t="shared" si="5" ref="B31:G31">B30/$A$6</f>
        <v>18208.289075378216</v>
      </c>
      <c r="C31" s="5">
        <f t="shared" si="5"/>
        <v>1308.720777292809</v>
      </c>
      <c r="D31" s="5">
        <f t="shared" si="5"/>
        <v>310.21529535829546</v>
      </c>
      <c r="E31" s="5">
        <f t="shared" si="5"/>
        <v>122.69257287120085</v>
      </c>
      <c r="F31" s="5">
        <f t="shared" si="5"/>
        <v>67.00650379739182</v>
      </c>
      <c r="G31" s="5">
        <f t="shared" si="5"/>
        <v>48.47113989973367</v>
      </c>
      <c r="H31" s="9"/>
      <c r="I31" s="9"/>
    </row>
    <row r="32" spans="1:9" ht="15">
      <c r="A32" s="3" t="s">
        <v>46</v>
      </c>
      <c r="B32" s="24">
        <f>MAX(B28*$A$14*$A$8/1000,(4*3.14^2*$A$8*1000*B24^3/(B26/2))*(($A$9*10000/(B26*2*2)))/($A$7*1000000-$A$8*1000*9.8*B24)/1000000)</f>
        <v>66.96785621105957</v>
      </c>
      <c r="C32" s="24">
        <f>MAX(C28*$A$14*$A$8/1000,(4*3.14^2*$A$8*1000*C24^3/(C26/2))*(($A$9*10000/(C26*2*2)))/($A$7*1000000-$A$8*1000*9.8*C24)/1000000)</f>
        <v>1.3788936529153681</v>
      </c>
      <c r="D32" s="24">
        <f>MAX(D28*$A$14*$A$8/1000,(4*3.14^2*$A$8*1000*D24^3/(D26/2))*(($A$9*10000/(D26*2*2)))/($A$7*1000000-$A$8*1000*9.8*D24)/1000000)</f>
        <v>0.2281646862675456</v>
      </c>
      <c r="E32" s="24">
        <f>MAX(E28*$A$14*$A$8/1000,(4*3.14^2*$A$8*1000*E24^3/(E26/2))*(($A$9*10000/(E26*2*2)))/($A$7*1000000-$A$8*1000*9.8*E24)/1000000)</f>
        <v>0.0877342238455528</v>
      </c>
      <c r="F32" s="24">
        <f>MAX(F28*$A$14*$A$8/1000,(4*3.14^2*$A$8*1000*F24^3/(F26/2))*(($A$9*10000/(F26*2*2)))/($A$7*1000000-$A$8*1000*9.8*F24)/1000000)</f>
        <v>0.045632937253509094</v>
      </c>
      <c r="G32" s="24">
        <f>MAX(G28*$A$14*$A$8/1000,(4*3.14^2*$A$8*1000*G24^3/(G26/2))*(($A$9*10000/(G26*2*2)))/($A$7*1000000-$A$8*1000*9.8*G24)/1000000)</f>
        <v>0.02970894352441999</v>
      </c>
      <c r="H32" s="9"/>
      <c r="I32" s="9"/>
    </row>
    <row r="33" spans="1:8" ht="15">
      <c r="A33" s="3" t="s">
        <v>108</v>
      </c>
      <c r="B33" s="25">
        <f aca="true" t="shared" si="6" ref="B33:G33">1000*B32/$A$8/B28</f>
        <v>0.024260160305678048</v>
      </c>
      <c r="C33" s="25">
        <f t="shared" si="6"/>
        <v>0.007032336258373613</v>
      </c>
      <c r="D33" s="25">
        <f t="shared" si="6"/>
        <v>0.005</v>
      </c>
      <c r="E33" s="25">
        <f t="shared" si="6"/>
        <v>0.005</v>
      </c>
      <c r="F33" s="25">
        <f t="shared" si="6"/>
        <v>0.005</v>
      </c>
      <c r="G33" s="25">
        <f t="shared" si="6"/>
        <v>0.005</v>
      </c>
      <c r="H33" s="3"/>
    </row>
    <row r="34" spans="1:7" ht="15">
      <c r="A34" s="3" t="s">
        <v>47</v>
      </c>
      <c r="B34" s="24">
        <f aca="true" t="shared" si="7" ref="B34:G34">B30*$A$11/1000</f>
        <v>145.66631260302572</v>
      </c>
      <c r="C34" s="24">
        <f t="shared" si="7"/>
        <v>10.469766218342475</v>
      </c>
      <c r="D34" s="24">
        <f t="shared" si="7"/>
        <v>2.4817223628663636</v>
      </c>
      <c r="E34" s="24">
        <f t="shared" si="7"/>
        <v>0.9815405829696069</v>
      </c>
      <c r="F34" s="24">
        <f t="shared" si="7"/>
        <v>0.5360520303791345</v>
      </c>
      <c r="G34" s="24">
        <f t="shared" si="7"/>
        <v>0.3877691191978694</v>
      </c>
    </row>
    <row r="35" spans="1:7" ht="15">
      <c r="A35" s="3" t="s">
        <v>48</v>
      </c>
      <c r="B35" s="24">
        <f aca="true" t="shared" si="8" ref="B35:G35">B31*$A$10/1000</f>
        <v>127.45802352764751</v>
      </c>
      <c r="C35" s="24">
        <f t="shared" si="8"/>
        <v>9.161045441049664</v>
      </c>
      <c r="D35" s="24">
        <f t="shared" si="8"/>
        <v>2.171507067508068</v>
      </c>
      <c r="E35" s="24">
        <f t="shared" si="8"/>
        <v>0.8588480100984061</v>
      </c>
      <c r="F35" s="24">
        <f t="shared" si="8"/>
        <v>0.4690455265817427</v>
      </c>
      <c r="G35" s="24">
        <f t="shared" si="8"/>
        <v>0.3392979792981357</v>
      </c>
    </row>
    <row r="36" spans="1:7" ht="15">
      <c r="A36" s="3" t="s">
        <v>49</v>
      </c>
      <c r="B36" s="24">
        <f aca="true" t="shared" si="9" ref="B36:G36">1.2*B43/1000/1000</f>
        <v>82.58683652125117</v>
      </c>
      <c r="C36" s="24">
        <f t="shared" si="9"/>
        <v>1.686580572432664</v>
      </c>
      <c r="D36" s="24">
        <f t="shared" si="9"/>
        <v>0.20934042499042982</v>
      </c>
      <c r="E36" s="24">
        <f t="shared" si="9"/>
        <v>0.05659867332915007</v>
      </c>
      <c r="F36" s="24">
        <f t="shared" si="9"/>
        <v>0.025120850998851574</v>
      </c>
      <c r="G36" s="24">
        <f t="shared" si="9"/>
        <v>0.017036167398309727</v>
      </c>
    </row>
    <row r="37" spans="1:7" ht="15">
      <c r="A37" s="3" t="s">
        <v>50</v>
      </c>
      <c r="B37" s="24">
        <f aca="true" t="shared" si="10" ref="B37:G37">(6*(B24*B33*3.14*2*$A$8)+(4*3.14*4^2*$A$8*B33))/1000</f>
        <v>1.069396509690383</v>
      </c>
      <c r="C37" s="24">
        <f t="shared" si="10"/>
        <v>0.07887485977503637</v>
      </c>
      <c r="D37" s="24">
        <f t="shared" si="10"/>
        <v>0.025650189044585988</v>
      </c>
      <c r="E37" s="24">
        <f t="shared" si="10"/>
        <v>0.014999711337579621</v>
      </c>
      <c r="F37" s="24">
        <f t="shared" si="10"/>
        <v>0.010070061656050957</v>
      </c>
      <c r="G37" s="24">
        <f t="shared" si="10"/>
        <v>0.007392227261146498</v>
      </c>
    </row>
    <row r="38" spans="1:7" ht="15">
      <c r="A38" s="3" t="s">
        <v>51</v>
      </c>
      <c r="B38" s="24">
        <f aca="true" t="shared" si="11" ref="B38:G38">B29+B32+B34+B35+B36+B37</f>
        <v>423.7484253726743</v>
      </c>
      <c r="C38" s="24">
        <f t="shared" si="11"/>
        <v>22.775160744515208</v>
      </c>
      <c r="D38" s="24">
        <f t="shared" si="11"/>
        <v>5.116384730676993</v>
      </c>
      <c r="E38" s="24">
        <f t="shared" si="11"/>
        <v>1.9997212015802956</v>
      </c>
      <c r="F38" s="24">
        <f t="shared" si="11"/>
        <v>1.085921406869289</v>
      </c>
      <c r="G38" s="24">
        <f t="shared" si="11"/>
        <v>0.7812044366798813</v>
      </c>
    </row>
    <row r="39" spans="1:7" ht="15">
      <c r="A39" s="3" t="s">
        <v>52</v>
      </c>
      <c r="B39" s="16">
        <f>13203/B38</f>
        <v>31.157637903641408</v>
      </c>
      <c r="C39" s="16">
        <f>13203/C38</f>
        <v>579.7105077811401</v>
      </c>
      <c r="D39" s="16">
        <f>13203/D38</f>
        <v>2580.5330707124126</v>
      </c>
      <c r="E39" s="16">
        <f>13203/E38</f>
        <v>6602.4203721829945</v>
      </c>
      <c r="F39" s="16">
        <f>13203/F38</f>
        <v>12158.338454772931</v>
      </c>
      <c r="G39" s="16">
        <f>13203/G38</f>
        <v>16900.82567389498</v>
      </c>
    </row>
    <row r="40" spans="1:7" ht="15">
      <c r="A40" s="3" t="s">
        <v>97</v>
      </c>
      <c r="B40" s="15">
        <f aca="true" t="shared" si="12" ref="B40:G40">B38*1000/B31</f>
        <v>23.272281301030056</v>
      </c>
      <c r="C40" s="15">
        <f t="shared" si="12"/>
        <v>17.402612642574073</v>
      </c>
      <c r="D40" s="15">
        <f t="shared" si="12"/>
        <v>16.49301245693776</v>
      </c>
      <c r="E40" s="15">
        <f t="shared" si="12"/>
        <v>16.298632873886717</v>
      </c>
      <c r="F40" s="15">
        <f t="shared" si="12"/>
        <v>16.206209029392127</v>
      </c>
      <c r="G40" s="15">
        <f t="shared" si="12"/>
        <v>16.116898391411127</v>
      </c>
    </row>
    <row r="41" spans="1:7" ht="15">
      <c r="A41" s="3" t="s">
        <v>93</v>
      </c>
      <c r="B41" s="5">
        <f aca="true" t="shared" si="13" ref="B41:G41">SIN($A15*3.14/180)*(B25*B27+6*B24*2+3.14*4^2)+COS($A15*3.14159/180)*(2*B24*B27*2+3.14159*4^2)</f>
        <v>871356.8039323736</v>
      </c>
      <c r="C41" s="5">
        <f t="shared" si="13"/>
        <v>64259.49643636546</v>
      </c>
      <c r="D41" s="5">
        <f t="shared" si="13"/>
        <v>15741.062919049393</v>
      </c>
      <c r="E41" s="5">
        <f t="shared" si="13"/>
        <v>6431.112957706658</v>
      </c>
      <c r="F41" s="5">
        <f t="shared" si="13"/>
        <v>3595.5729374823404</v>
      </c>
      <c r="G41" s="5">
        <f t="shared" si="13"/>
        <v>2610.1456645479666</v>
      </c>
    </row>
    <row r="42" spans="1:7" ht="15">
      <c r="A42" s="3" t="s">
        <v>94</v>
      </c>
      <c r="B42" s="25">
        <f aca="true" t="shared" si="14" ref="B42:G42">B38*1000/B41</f>
        <v>0.48630873536572694</v>
      </c>
      <c r="C42" s="25">
        <f t="shared" si="14"/>
        <v>0.35442482446262036</v>
      </c>
      <c r="D42" s="25">
        <f t="shared" si="14"/>
        <v>0.3250342595661242</v>
      </c>
      <c r="E42" s="25">
        <f t="shared" si="14"/>
        <v>0.31094481075533753</v>
      </c>
      <c r="F42" s="25">
        <f t="shared" si="14"/>
        <v>0.3020162365638627</v>
      </c>
      <c r="G42" s="25">
        <f t="shared" si="14"/>
        <v>0.29929534098058574</v>
      </c>
    </row>
    <row r="43" spans="1:7" ht="14.25" hidden="1">
      <c r="A43" s="3" t="s">
        <v>98</v>
      </c>
      <c r="B43" s="8">
        <f>(1/4)*3.14159^2*(B24+(B24-B27))*(B24-(B24-B27))^2</f>
        <v>68822363.76770931</v>
      </c>
      <c r="C43" s="8">
        <f>(1/4)*3.14159^2*(C24+(C24-C27))*(C24-(C24-C27))^2</f>
        <v>1405483.8103605534</v>
      </c>
      <c r="D43" s="8">
        <f>(1/4)*3.14159^2*(D24+(D24-D27))*(D24-(D24-D27))^2</f>
        <v>174450.35415869154</v>
      </c>
      <c r="E43" s="8">
        <f>(1/4)*3.14159^2*(E24+(E24-E27))*(E24-(E24-E27))^2</f>
        <v>47165.56110762506</v>
      </c>
      <c r="F43" s="8">
        <f>(1/4)*3.14159^2*(F24+(F24-F27))*(F24-(F24-F27))^2</f>
        <v>20934.04249904298</v>
      </c>
      <c r="G43" s="8">
        <f>(1/4)*3.14159^2*(G24+(G24-G27))*(G24-(G24-G27))^2</f>
        <v>14196.806165258105</v>
      </c>
    </row>
    <row r="44" spans="1:7" ht="14.25" hidden="1">
      <c r="A44" s="3" t="s">
        <v>96</v>
      </c>
      <c r="B44" s="8">
        <f aca="true" t="shared" si="15" ref="B44:G44">B43/B31</f>
        <v>3779.727105759373</v>
      </c>
      <c r="C44" s="8">
        <f t="shared" si="15"/>
        <v>1073.9371107623936</v>
      </c>
      <c r="D44" s="8">
        <f t="shared" si="15"/>
        <v>562.3525234537619</v>
      </c>
      <c r="E44" s="8">
        <f t="shared" si="15"/>
        <v>384.42067032972005</v>
      </c>
      <c r="F44" s="8">
        <f t="shared" si="15"/>
        <v>312.4180685854232</v>
      </c>
      <c r="G44" s="8">
        <f t="shared" si="15"/>
        <v>292.8919392988344</v>
      </c>
    </row>
    <row r="45" spans="1:7" ht="14.25" hidden="1">
      <c r="A45" s="3" t="s">
        <v>109</v>
      </c>
      <c r="B45" s="8">
        <f aca="true" t="shared" si="16" ref="B45:G45">((1000*$A$16*B31)/(1366*$A$12))</f>
        <v>285635.1559618001</v>
      </c>
      <c r="C45" s="8">
        <f t="shared" si="16"/>
        <v>20530.02683475438</v>
      </c>
      <c r="D45" s="8">
        <f t="shared" si="16"/>
        <v>4866.376731201038</v>
      </c>
      <c r="E45" s="8">
        <f t="shared" si="16"/>
        <v>1924.690015758223</v>
      </c>
      <c r="F45" s="8">
        <f t="shared" si="16"/>
        <v>1051.137373939424</v>
      </c>
      <c r="G45" s="8">
        <f t="shared" si="16"/>
        <v>760.3713642501622</v>
      </c>
    </row>
    <row r="46" spans="1:8" ht="14.25" hidden="1">
      <c r="A46" s="3" t="s">
        <v>110</v>
      </c>
      <c r="B46" s="8">
        <f aca="true" t="shared" si="17" ref="B46:G46">(B24-B27/2)*3.14*B27</f>
        <v>337776.9567606393</v>
      </c>
      <c r="C46" s="8">
        <f t="shared" si="17"/>
        <v>23993.21425036817</v>
      </c>
      <c r="D46" s="8">
        <f t="shared" si="17"/>
        <v>5583.875316449318</v>
      </c>
      <c r="E46" s="8">
        <f t="shared" si="17"/>
        <v>2147.1200252460153</v>
      </c>
      <c r="F46" s="8">
        <f t="shared" si="17"/>
        <v>1116.7750632898635</v>
      </c>
      <c r="G46" s="8">
        <f t="shared" si="17"/>
        <v>727.067098496005</v>
      </c>
      <c r="H46" s="8"/>
    </row>
    <row r="47" spans="1:7" ht="14.25" hidden="1">
      <c r="A47" s="3" t="s">
        <v>111</v>
      </c>
      <c r="B47" s="8">
        <f aca="true" t="shared" si="18" ref="B47:G47">3.14159*B24^2</f>
        <v>2514016.269086563</v>
      </c>
      <c r="C47" s="8">
        <f t="shared" si="18"/>
        <v>157126.0168179102</v>
      </c>
      <c r="D47" s="8">
        <f t="shared" si="18"/>
        <v>31037.237889957563</v>
      </c>
      <c r="E47" s="8">
        <f t="shared" si="18"/>
        <v>9820.376051119387</v>
      </c>
      <c r="F47" s="8">
        <f t="shared" si="18"/>
        <v>4022.426030538499</v>
      </c>
      <c r="G47" s="8">
        <f t="shared" si="18"/>
        <v>1939.8273681223477</v>
      </c>
    </row>
    <row r="48" spans="1:7" ht="15">
      <c r="A48" s="3" t="s">
        <v>81</v>
      </c>
      <c r="B48">
        <f aca="true" t="shared" si="19" ref="B48:G48">FLOOR(1+1000*B38/$A$17,1)</f>
        <v>7996</v>
      </c>
      <c r="C48">
        <f t="shared" si="19"/>
        <v>430</v>
      </c>
      <c r="D48">
        <f t="shared" si="19"/>
        <v>97</v>
      </c>
      <c r="E48">
        <f t="shared" si="19"/>
        <v>38</v>
      </c>
      <c r="F48">
        <f t="shared" si="19"/>
        <v>21</v>
      </c>
      <c r="G48">
        <f t="shared" si="19"/>
        <v>15</v>
      </c>
    </row>
    <row r="49" spans="1:7" ht="14.25" hidden="1">
      <c r="A49" s="3" t="s">
        <v>122</v>
      </c>
      <c r="B49" s="33">
        <f aca="true" t="shared" si="20" ref="B49:G49">B48*$A$18/1000</f>
        <v>719.64</v>
      </c>
      <c r="C49" s="33">
        <f t="shared" si="20"/>
        <v>38.7</v>
      </c>
      <c r="D49" s="33">
        <f t="shared" si="20"/>
        <v>8.73</v>
      </c>
      <c r="E49" s="33">
        <f t="shared" si="20"/>
        <v>3.42</v>
      </c>
      <c r="F49" s="33">
        <f t="shared" si="20"/>
        <v>1.89</v>
      </c>
      <c r="G49" s="33">
        <f t="shared" si="20"/>
        <v>1.35</v>
      </c>
    </row>
    <row r="50" spans="1:7" ht="14.25" hidden="1">
      <c r="A50" s="3" t="s">
        <v>123</v>
      </c>
      <c r="B50" s="33">
        <f aca="true" t="shared" si="21" ref="B50:G50">B38*$A$19/1000</f>
        <v>719.5727978026546</v>
      </c>
      <c r="C50" s="33">
        <f t="shared" si="21"/>
        <v>38.67480126427111</v>
      </c>
      <c r="D50" s="33">
        <f t="shared" si="21"/>
        <v>8.68820048605527</v>
      </c>
      <c r="E50" s="33">
        <f t="shared" si="21"/>
        <v>3.3957529838155964</v>
      </c>
      <c r="F50" s="33">
        <f t="shared" si="21"/>
        <v>1.8440174833629437</v>
      </c>
      <c r="G50" s="33">
        <f t="shared" si="21"/>
        <v>1.3265735717205531</v>
      </c>
    </row>
    <row r="51" spans="1:7" ht="14.25" hidden="1">
      <c r="A51" s="3" t="s">
        <v>124</v>
      </c>
      <c r="B51" s="33">
        <f aca="true" t="shared" si="22" ref="B51:G51">B50*$A$20</f>
        <v>719.5727978026546</v>
      </c>
      <c r="C51" s="33">
        <f t="shared" si="22"/>
        <v>38.67480126427111</v>
      </c>
      <c r="D51" s="33">
        <f t="shared" si="22"/>
        <v>8.68820048605527</v>
      </c>
      <c r="E51" s="33">
        <f t="shared" si="22"/>
        <v>3.3957529838155964</v>
      </c>
      <c r="F51" s="33">
        <f t="shared" si="22"/>
        <v>1.8440174833629437</v>
      </c>
      <c r="G51" s="33">
        <f t="shared" si="22"/>
        <v>1.3265735717205531</v>
      </c>
    </row>
    <row r="52" spans="1:7" ht="14.25" hidden="1">
      <c r="A52" s="3" t="s">
        <v>125</v>
      </c>
      <c r="B52" s="33">
        <f aca="true" t="shared" si="23" ref="B52:G52">B49+B50+B51</f>
        <v>2158.785595605309</v>
      </c>
      <c r="C52" s="33">
        <f t="shared" si="23"/>
        <v>116.04960252854222</v>
      </c>
      <c r="D52" s="33">
        <f t="shared" si="23"/>
        <v>26.106400972110542</v>
      </c>
      <c r="E52" s="33">
        <f t="shared" si="23"/>
        <v>10.211505967631192</v>
      </c>
      <c r="F52" s="33">
        <f t="shared" si="23"/>
        <v>5.5780349667258875</v>
      </c>
      <c r="G52" s="33">
        <f t="shared" si="23"/>
        <v>4.003147143441106</v>
      </c>
    </row>
    <row r="53" spans="1:7" ht="14.25" hidden="1">
      <c r="A53" s="3" t="s">
        <v>126</v>
      </c>
      <c r="B53" s="35">
        <f aca="true" t="shared" si="24" ref="B53:G53">B52/B31</f>
        <v>0.11856059548859439</v>
      </c>
      <c r="C53" s="35">
        <f t="shared" si="24"/>
        <v>0.08867407360078738</v>
      </c>
      <c r="D53" s="35">
        <f t="shared" si="24"/>
        <v>0.08415575041829552</v>
      </c>
      <c r="E53" s="35">
        <f t="shared" si="24"/>
        <v>0.08322839540051816</v>
      </c>
      <c r="F53" s="35">
        <f t="shared" si="24"/>
        <v>0.08324617239532812</v>
      </c>
      <c r="G53" s="35">
        <f t="shared" si="24"/>
        <v>0.08258826080265345</v>
      </c>
    </row>
  </sheetData>
  <sheetProtection/>
  <printOptions/>
  <pageMargins left="0.7" right="0.7" top="0.75" bottom="0.75" header="0.3" footer="0.3"/>
  <pageSetup horizontalDpi="600" verticalDpi="6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D. Covey</dc:creator>
  <cp:keywords/>
  <dc:description/>
  <cp:lastModifiedBy>David</cp:lastModifiedBy>
  <dcterms:created xsi:type="dcterms:W3CDTF">2015-08-16T13:58:55Z</dcterms:created>
  <dcterms:modified xsi:type="dcterms:W3CDTF">2017-07-07T20:17:48Z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-353575502</vt:i4>
  </property>
  <property fmtid="{D5CDD505-2E9C-101B-9397-08002B2CF9AE}" pid="3" name="_NewReviewCycle">
    <vt:lpwstr/>
  </property>
  <property fmtid="{D5CDD505-2E9C-101B-9397-08002B2CF9AE}" pid="4" name="_EmailSubject">
    <vt:lpwstr>my latest version of spread sheet</vt:lpwstr>
  </property>
  <property fmtid="{D5CDD505-2E9C-101B-9397-08002B2CF9AE}" pid="5" name="_AuthorEmail">
    <vt:lpwstr>StephenDCovey@galleries.com</vt:lpwstr>
  </property>
  <property fmtid="{D5CDD505-2E9C-101B-9397-08002B2CF9AE}" pid="6" name="_AuthorEmailDisplayName">
    <vt:lpwstr>Stephen D. Covey</vt:lpwstr>
  </property>
  <property fmtid="{D5CDD505-2E9C-101B-9397-08002B2CF9AE}" pid="7" name="_PreviousAdHocReviewCycleID">
    <vt:i4>-353575502</vt:i4>
  </property>
  <property fmtid="{D5CDD505-2E9C-101B-9397-08002B2CF9AE}" pid="8" name="_ReviewingToolsShownOnce">
    <vt:lpwstr/>
  </property>
</Properties>
</file>